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autoCompressPictures="0"/>
  <bookViews>
    <workbookView xWindow="0" yWindow="0" windowWidth="20490" windowHeight="7515" tabRatio="741"/>
  </bookViews>
  <sheets>
    <sheet name="一月" sheetId="1" r:id="rId1"/>
    <sheet name="二月" sheetId="6" r:id="rId2"/>
    <sheet name="三月" sheetId="7" r:id="rId3"/>
    <sheet name="四月" sheetId="8" r:id="rId4"/>
    <sheet name="五月" sheetId="9" r:id="rId5"/>
    <sheet name="六月" sheetId="10" r:id="rId6"/>
    <sheet name="七月" sheetId="11" r:id="rId7"/>
    <sheet name="八月" sheetId="12" r:id="rId8"/>
    <sheet name="九月" sheetId="13" r:id="rId9"/>
    <sheet name="十月" sheetId="14" r:id="rId10"/>
    <sheet name="十一月" sheetId="15" r:id="rId11"/>
    <sheet name="十二月" sheetId="16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AprSun1">DATE(CalendarYear,4,1)-WEEKDAY(DATE(CalendarYear,4,1))</definedName>
    <definedName name="AssignmentDays" localSheetId="6">七月!$L$4:$L$33</definedName>
    <definedName name="AssignmentDays" localSheetId="8">九月!$L$4:$L$33</definedName>
    <definedName name="AssignmentDays" localSheetId="1">二月!$L$4:$L$33</definedName>
    <definedName name="AssignmentDays" localSheetId="7">八月!$L$4:$L$33</definedName>
    <definedName name="AssignmentDays" localSheetId="10">十一月!$L$4:$L$33</definedName>
    <definedName name="AssignmentDays" localSheetId="11">"十二月!$L$4:$L$33"</definedName>
    <definedName name="AssignmentDays" localSheetId="9">十月!$L$4:$L$33</definedName>
    <definedName name="AssignmentDays" localSheetId="2">三月!$L$4:$L$33</definedName>
    <definedName name="AssignmentDays" localSheetId="4">五月!$L$4:$L$33</definedName>
    <definedName name="AssignmentDays" localSheetId="5">六月!$L$4:$L$33</definedName>
    <definedName name="AssignmentDays" localSheetId="3">四月!$L$4:$L$33</definedName>
    <definedName name="AssignmentDays">一月!$L$4:$L$33</definedName>
    <definedName name="AugSun1">DATE(CalendarYear,8,1)-WEEKDAY(DATE(CalendarYear,8,1))</definedName>
    <definedName name="CalendarYear">一月!$N$2:$N$3</definedName>
    <definedName name="DecSun1">DATE(CalendarYear,12,1)-WEEKDAY(DATE(CalendarYear,12,1))</definedName>
    <definedName name="FebSun1">DATE(CalendarYear,2,1)-WEEKDAY(DATE(CalendarYear,2,1))</definedName>
    <definedName name="ImportantDatesTable" localSheetId="6">[9]Jul!$L$4:$M$8</definedName>
    <definedName name="ImportantDatesTable" localSheetId="8">[11]Sep!$L$4:$M$8</definedName>
    <definedName name="ImportantDatesTable" localSheetId="1">[4]Feb!$L$4:$M$8</definedName>
    <definedName name="ImportantDatesTable" localSheetId="7">[10]Aug!$L$4:$M$8</definedName>
    <definedName name="ImportantDatesTable" localSheetId="10">[2]Nov!$L$4:$M$8</definedName>
    <definedName name="ImportantDatesTable" localSheetId="11">[3]Dec!$L$4:$M$8</definedName>
    <definedName name="ImportantDatesTable" localSheetId="9">[1]Oct!$L$4:$M$8</definedName>
    <definedName name="ImportantDatesTable" localSheetId="2">[5]Mar!$L$4:$M$8</definedName>
    <definedName name="ImportantDatesTable" localSheetId="4">[7]May!$L$4:$M$8</definedName>
    <definedName name="ImportantDatesTable" localSheetId="5">[8]Jun!$L$4:$M$8</definedName>
    <definedName name="ImportantDatesTable" localSheetId="3">[6]Apr!$L$4:$M$8</definedName>
    <definedName name="ImportantDatesTable">[12]Jan!$L$4:$M$8</definedName>
    <definedName name="JanSun1">DATE(CalendarYear,1,1)-WEEKDAY(DATE(CalendarYear,1,1))</definedName>
    <definedName name="JulSun1">DATE(CalendarYear,7,1)-WEEKDAY(DATE(CalendarYear,7,1))</definedName>
    <definedName name="JunSun1">DATE(CalendarYear,6,1)-WEEKDAY(DATE(CalendarYear,6,1))</definedName>
    <definedName name="MarSun1">DATE(CalendarYear,3,1)-WEEKDAY(DATE(CalendarYear,3,1))</definedName>
    <definedName name="MaySun1">DATE(CalendarYear,5,1)-WEEKDAY(DATE(CalendarYear,5,1))</definedName>
    <definedName name="NovSun1">DATE(CalendarYear,11,1)-WEEKDAY(DATE(CalendarYear,11,1))</definedName>
    <definedName name="OctSun1">DATE(CalendarYear,10,1)-WEEKDAY(DATE(CalendarYear,10,1))</definedName>
    <definedName name="_xlnm.Print_Area" localSheetId="0">[12]Jan!$A$1:$N$33</definedName>
    <definedName name="_xlnm.Print_Area" localSheetId="6">[9]Jul!$A$1:$N$33</definedName>
    <definedName name="_xlnm.Print_Area" localSheetId="8">[11]Sep!$A$1:$N$33</definedName>
    <definedName name="_xlnm.Print_Area" localSheetId="1">[4]Feb!$A$1:$N$33</definedName>
    <definedName name="_xlnm.Print_Area" localSheetId="7">[10]Aug!$A$1:$N$33</definedName>
    <definedName name="_xlnm.Print_Area" localSheetId="10">[2]Nov!$A$1:$N$33</definedName>
    <definedName name="_xlnm.Print_Area" localSheetId="11">[3]Dec!$A$1:$N$33</definedName>
    <definedName name="_xlnm.Print_Area" localSheetId="9">[1]Oct!$A$1:$N$33</definedName>
    <definedName name="_xlnm.Print_Area" localSheetId="2">[5]Mar!$A$1:$N$33</definedName>
    <definedName name="_xlnm.Print_Area" localSheetId="4">[7]May!$A$1:$N$33</definedName>
    <definedName name="_xlnm.Print_Area" localSheetId="5">[8]Jun!$A$1:$N$33</definedName>
    <definedName name="_xlnm.Print_Area" localSheetId="3">[6]Apr!$A$1:$N$33</definedName>
    <definedName name="SepSun1">DATE(CalendarYear,9,1)-WEEKDAY(DATE(CalendarYear,9,1))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N2" i="7" l="1"/>
  <c r="N2" i="8"/>
  <c r="N2" i="9"/>
  <c r="N2" i="10"/>
  <c r="N2" i="11"/>
  <c r="N2" i="12"/>
  <c r="N2" i="13"/>
  <c r="N2" i="14"/>
  <c r="N2" i="15"/>
  <c r="N2" i="16"/>
  <c r="N2" i="6"/>
  <c r="I9" i="8"/>
  <c r="H9" i="8"/>
  <c r="G9" i="8"/>
  <c r="F9" i="8"/>
  <c r="E9" i="8"/>
  <c r="D9" i="8"/>
  <c r="C9" i="8"/>
  <c r="I8" i="8"/>
  <c r="H8" i="8"/>
  <c r="G8" i="8"/>
  <c r="F8" i="8"/>
  <c r="E8" i="8"/>
  <c r="D8" i="8"/>
  <c r="C8" i="8"/>
  <c r="I7" i="8"/>
  <c r="H7" i="8"/>
  <c r="G7" i="8"/>
  <c r="F7" i="8"/>
  <c r="E7" i="8"/>
  <c r="D7" i="8"/>
  <c r="C7" i="8"/>
  <c r="I6" i="8"/>
  <c r="H6" i="8"/>
  <c r="G6" i="8"/>
  <c r="F6" i="8"/>
  <c r="E6" i="8"/>
  <c r="D6" i="8"/>
  <c r="C6" i="8"/>
  <c r="I5" i="8"/>
  <c r="H5" i="8"/>
  <c r="G5" i="8"/>
  <c r="F5" i="8"/>
  <c r="E5" i="8"/>
  <c r="D5" i="8"/>
  <c r="C5" i="8"/>
  <c r="I4" i="8"/>
  <c r="H4" i="8"/>
  <c r="G4" i="8"/>
  <c r="F4" i="8"/>
  <c r="E4" i="8"/>
  <c r="D4" i="8"/>
  <c r="C4" i="8"/>
  <c r="I9" i="16"/>
  <c r="H9" i="16"/>
  <c r="G9" i="16"/>
  <c r="F9" i="16"/>
  <c r="E9" i="16"/>
  <c r="D9" i="16"/>
  <c r="C9" i="16"/>
  <c r="I8" i="16"/>
  <c r="H8" i="16"/>
  <c r="G8" i="16"/>
  <c r="F8" i="16"/>
  <c r="E8" i="16"/>
  <c r="D8" i="16"/>
  <c r="C8" i="16"/>
  <c r="I7" i="16"/>
  <c r="H7" i="16"/>
  <c r="G7" i="16"/>
  <c r="F7" i="16"/>
  <c r="E7" i="16"/>
  <c r="D7" i="16"/>
  <c r="C7" i="16"/>
  <c r="I6" i="16"/>
  <c r="H6" i="16"/>
  <c r="G6" i="16"/>
  <c r="F6" i="16"/>
  <c r="E6" i="16"/>
  <c r="D6" i="16"/>
  <c r="C6" i="16"/>
  <c r="I5" i="16"/>
  <c r="H5" i="16"/>
  <c r="G5" i="16"/>
  <c r="F5" i="16"/>
  <c r="E5" i="16"/>
  <c r="D5" i="16"/>
  <c r="C5" i="16"/>
  <c r="I4" i="16"/>
  <c r="H4" i="16"/>
  <c r="G4" i="16"/>
  <c r="F4" i="16"/>
  <c r="E4" i="16"/>
  <c r="D4" i="16"/>
  <c r="C4" i="16"/>
  <c r="I9" i="15"/>
  <c r="H9" i="15"/>
  <c r="G9" i="15"/>
  <c r="F9" i="15"/>
  <c r="E9" i="15"/>
  <c r="D9" i="15"/>
  <c r="C9" i="15"/>
  <c r="I8" i="15"/>
  <c r="H8" i="15"/>
  <c r="G8" i="15"/>
  <c r="F8" i="15"/>
  <c r="E8" i="15"/>
  <c r="D8" i="15"/>
  <c r="C8" i="15"/>
  <c r="I7" i="15"/>
  <c r="H7" i="15"/>
  <c r="G7" i="15"/>
  <c r="F7" i="15"/>
  <c r="E7" i="15"/>
  <c r="D7" i="15"/>
  <c r="C7" i="15"/>
  <c r="I6" i="15"/>
  <c r="H6" i="15"/>
  <c r="G6" i="15"/>
  <c r="F6" i="15"/>
  <c r="E6" i="15"/>
  <c r="D6" i="15"/>
  <c r="C6" i="15"/>
  <c r="I5" i="15"/>
  <c r="H5" i="15"/>
  <c r="G5" i="15"/>
  <c r="F5" i="15"/>
  <c r="E5" i="15"/>
  <c r="D5" i="15"/>
  <c r="C5" i="15"/>
  <c r="I4" i="15"/>
  <c r="H4" i="15"/>
  <c r="G4" i="15"/>
  <c r="F4" i="15"/>
  <c r="E4" i="15"/>
  <c r="D4" i="15"/>
  <c r="C4" i="15"/>
  <c r="I9" i="14"/>
  <c r="H9" i="14"/>
  <c r="G9" i="14"/>
  <c r="F9" i="14"/>
  <c r="E9" i="14"/>
  <c r="D9" i="14"/>
  <c r="C9" i="14"/>
  <c r="I8" i="14"/>
  <c r="H8" i="14"/>
  <c r="G8" i="14"/>
  <c r="F8" i="14"/>
  <c r="E8" i="14"/>
  <c r="D8" i="14"/>
  <c r="C8" i="14"/>
  <c r="I7" i="14"/>
  <c r="H7" i="14"/>
  <c r="G7" i="14"/>
  <c r="F7" i="14"/>
  <c r="E7" i="14"/>
  <c r="D7" i="14"/>
  <c r="C7" i="14"/>
  <c r="I6" i="14"/>
  <c r="H6" i="14"/>
  <c r="G6" i="14"/>
  <c r="F6" i="14"/>
  <c r="E6" i="14"/>
  <c r="D6" i="14"/>
  <c r="C6" i="14"/>
  <c r="I5" i="14"/>
  <c r="H5" i="14"/>
  <c r="G5" i="14"/>
  <c r="F5" i="14"/>
  <c r="E5" i="14"/>
  <c r="D5" i="14"/>
  <c r="C5" i="14"/>
  <c r="I4" i="14"/>
  <c r="H4" i="14"/>
  <c r="G4" i="14"/>
  <c r="F4" i="14"/>
  <c r="E4" i="14"/>
  <c r="D4" i="14"/>
  <c r="C4" i="14"/>
  <c r="I9" i="13"/>
  <c r="H9" i="13"/>
  <c r="G9" i="13"/>
  <c r="F9" i="13"/>
  <c r="E9" i="13"/>
  <c r="D9" i="13"/>
  <c r="C9" i="13"/>
  <c r="I8" i="13"/>
  <c r="H8" i="13"/>
  <c r="G8" i="13"/>
  <c r="F8" i="13"/>
  <c r="E8" i="13"/>
  <c r="D8" i="13"/>
  <c r="C8" i="13"/>
  <c r="I7" i="13"/>
  <c r="H7" i="13"/>
  <c r="G7" i="13"/>
  <c r="F7" i="13"/>
  <c r="E7" i="13"/>
  <c r="D7" i="13"/>
  <c r="C7" i="13"/>
  <c r="I6" i="13"/>
  <c r="H6" i="13"/>
  <c r="G6" i="13"/>
  <c r="F6" i="13"/>
  <c r="E6" i="13"/>
  <c r="D6" i="13"/>
  <c r="C6" i="13"/>
  <c r="I5" i="13"/>
  <c r="H5" i="13"/>
  <c r="G5" i="13"/>
  <c r="F5" i="13"/>
  <c r="E5" i="13"/>
  <c r="D5" i="13"/>
  <c r="C5" i="13"/>
  <c r="I4" i="13"/>
  <c r="H4" i="13"/>
  <c r="G4" i="13"/>
  <c r="F4" i="13"/>
  <c r="E4" i="13"/>
  <c r="D4" i="13"/>
  <c r="C4" i="13"/>
  <c r="I9" i="12"/>
  <c r="H9" i="12"/>
  <c r="G9" i="12"/>
  <c r="F9" i="12"/>
  <c r="E9" i="12"/>
  <c r="D9" i="12"/>
  <c r="C9" i="12"/>
  <c r="I8" i="12"/>
  <c r="H8" i="12"/>
  <c r="G8" i="12"/>
  <c r="F8" i="12"/>
  <c r="E8" i="12"/>
  <c r="D8" i="12"/>
  <c r="C8" i="12"/>
  <c r="I7" i="12"/>
  <c r="H7" i="12"/>
  <c r="G7" i="12"/>
  <c r="F7" i="12"/>
  <c r="E7" i="12"/>
  <c r="D7" i="12"/>
  <c r="C7" i="12"/>
  <c r="I6" i="12"/>
  <c r="H6" i="12"/>
  <c r="G6" i="12"/>
  <c r="F6" i="12"/>
  <c r="E6" i="12"/>
  <c r="D6" i="12"/>
  <c r="C6" i="12"/>
  <c r="I5" i="12"/>
  <c r="H5" i="12"/>
  <c r="G5" i="12"/>
  <c r="F5" i="12"/>
  <c r="E5" i="12"/>
  <c r="D5" i="12"/>
  <c r="C5" i="12"/>
  <c r="I4" i="12"/>
  <c r="H4" i="12"/>
  <c r="G4" i="12"/>
  <c r="F4" i="12"/>
  <c r="E4" i="12"/>
  <c r="D4" i="12"/>
  <c r="C4" i="12"/>
  <c r="I9" i="11"/>
  <c r="H9" i="11"/>
  <c r="G9" i="11"/>
  <c r="F9" i="11"/>
  <c r="E9" i="11"/>
  <c r="D9" i="11"/>
  <c r="C9" i="11"/>
  <c r="I8" i="11"/>
  <c r="H8" i="11"/>
  <c r="G8" i="11"/>
  <c r="F8" i="11"/>
  <c r="E8" i="11"/>
  <c r="D8" i="11"/>
  <c r="C8" i="11"/>
  <c r="I7" i="11"/>
  <c r="H7" i="11"/>
  <c r="G7" i="11"/>
  <c r="F7" i="11"/>
  <c r="E7" i="11"/>
  <c r="D7" i="11"/>
  <c r="C7" i="11"/>
  <c r="I6" i="11"/>
  <c r="H6" i="11"/>
  <c r="G6" i="11"/>
  <c r="F6" i="11"/>
  <c r="E6" i="11"/>
  <c r="D6" i="11"/>
  <c r="C6" i="11"/>
  <c r="I5" i="11"/>
  <c r="H5" i="11"/>
  <c r="G5" i="11"/>
  <c r="F5" i="11"/>
  <c r="E5" i="11"/>
  <c r="D5" i="11"/>
  <c r="C5" i="11"/>
  <c r="I4" i="11"/>
  <c r="H4" i="11"/>
  <c r="G4" i="11"/>
  <c r="F4" i="11"/>
  <c r="E4" i="11"/>
  <c r="D4" i="11"/>
  <c r="C4" i="11"/>
  <c r="I9" i="10"/>
  <c r="H9" i="10"/>
  <c r="G9" i="10"/>
  <c r="F9" i="10"/>
  <c r="E9" i="10"/>
  <c r="D9" i="10"/>
  <c r="C9" i="10"/>
  <c r="I8" i="10"/>
  <c r="H8" i="10"/>
  <c r="G8" i="10"/>
  <c r="F8" i="10"/>
  <c r="E8" i="10"/>
  <c r="D8" i="10"/>
  <c r="C8" i="10"/>
  <c r="I7" i="10"/>
  <c r="H7" i="10"/>
  <c r="G7" i="10"/>
  <c r="F7" i="10"/>
  <c r="E7" i="10"/>
  <c r="D7" i="10"/>
  <c r="C7" i="10"/>
  <c r="I6" i="10"/>
  <c r="H6" i="10"/>
  <c r="G6" i="10"/>
  <c r="F6" i="10"/>
  <c r="E6" i="10"/>
  <c r="D6" i="10"/>
  <c r="C6" i="10"/>
  <c r="I5" i="10"/>
  <c r="H5" i="10"/>
  <c r="G5" i="10"/>
  <c r="F5" i="10"/>
  <c r="E5" i="10"/>
  <c r="D5" i="10"/>
  <c r="C5" i="10"/>
  <c r="I4" i="10"/>
  <c r="H4" i="10"/>
  <c r="G4" i="10"/>
  <c r="F4" i="10"/>
  <c r="E4" i="10"/>
  <c r="D4" i="10"/>
  <c r="C4" i="10"/>
  <c r="I9" i="9"/>
  <c r="H9" i="9"/>
  <c r="G9" i="9"/>
  <c r="F9" i="9"/>
  <c r="E9" i="9"/>
  <c r="D9" i="9"/>
  <c r="C9" i="9"/>
  <c r="I8" i="9"/>
  <c r="H8" i="9"/>
  <c r="G8" i="9"/>
  <c r="F8" i="9"/>
  <c r="E8" i="9"/>
  <c r="D8" i="9"/>
  <c r="C8" i="9"/>
  <c r="I7" i="9"/>
  <c r="H7" i="9"/>
  <c r="G7" i="9"/>
  <c r="F7" i="9"/>
  <c r="E7" i="9"/>
  <c r="D7" i="9"/>
  <c r="C7" i="9"/>
  <c r="I6" i="9"/>
  <c r="H6" i="9"/>
  <c r="G6" i="9"/>
  <c r="F6" i="9"/>
  <c r="E6" i="9"/>
  <c r="D6" i="9"/>
  <c r="C6" i="9"/>
  <c r="I5" i="9"/>
  <c r="H5" i="9"/>
  <c r="G5" i="9"/>
  <c r="F5" i="9"/>
  <c r="E5" i="9"/>
  <c r="D5" i="9"/>
  <c r="C5" i="9"/>
  <c r="I4" i="9"/>
  <c r="H4" i="9"/>
  <c r="G4" i="9"/>
  <c r="F4" i="9"/>
  <c r="E4" i="9"/>
  <c r="D4" i="9"/>
  <c r="C4" i="9"/>
  <c r="I9" i="7"/>
  <c r="H9" i="7"/>
  <c r="G9" i="7"/>
  <c r="F9" i="7"/>
  <c r="E9" i="7"/>
  <c r="D9" i="7"/>
  <c r="C9" i="7"/>
  <c r="I8" i="7"/>
  <c r="H8" i="7"/>
  <c r="G8" i="7"/>
  <c r="F8" i="7"/>
  <c r="E8" i="7"/>
  <c r="D8" i="7"/>
  <c r="C8" i="7"/>
  <c r="I7" i="7"/>
  <c r="H7" i="7"/>
  <c r="G7" i="7"/>
  <c r="F7" i="7"/>
  <c r="E7" i="7"/>
  <c r="D7" i="7"/>
  <c r="C7" i="7"/>
  <c r="I6" i="7"/>
  <c r="H6" i="7"/>
  <c r="G6" i="7"/>
  <c r="F6" i="7"/>
  <c r="E6" i="7"/>
  <c r="D6" i="7"/>
  <c r="C6" i="7"/>
  <c r="I5" i="7"/>
  <c r="H5" i="7"/>
  <c r="G5" i="7"/>
  <c r="F5" i="7"/>
  <c r="E5" i="7"/>
  <c r="D5" i="7"/>
  <c r="C5" i="7"/>
  <c r="I4" i="7"/>
  <c r="H4" i="7"/>
  <c r="G4" i="7"/>
  <c r="F4" i="7"/>
  <c r="E4" i="7"/>
  <c r="D4" i="7"/>
  <c r="C4" i="7"/>
  <c r="I9" i="6"/>
  <c r="H9" i="6"/>
  <c r="G9" i="6"/>
  <c r="F9" i="6"/>
  <c r="E9" i="6"/>
  <c r="D9" i="6"/>
  <c r="C9" i="6"/>
  <c r="I8" i="6"/>
  <c r="H8" i="6"/>
  <c r="G8" i="6"/>
  <c r="F8" i="6"/>
  <c r="E8" i="6"/>
  <c r="D8" i="6"/>
  <c r="C8" i="6"/>
  <c r="I7" i="6"/>
  <c r="H7" i="6"/>
  <c r="G7" i="6"/>
  <c r="F7" i="6"/>
  <c r="E7" i="6"/>
  <c r="D7" i="6"/>
  <c r="C7" i="6"/>
  <c r="I6" i="6"/>
  <c r="H6" i="6"/>
  <c r="G6" i="6"/>
  <c r="F6" i="6"/>
  <c r="E6" i="6"/>
  <c r="D6" i="6"/>
  <c r="C6" i="6"/>
  <c r="I5" i="6"/>
  <c r="H5" i="6"/>
  <c r="G5" i="6"/>
  <c r="F5" i="6"/>
  <c r="E5" i="6"/>
  <c r="D5" i="6"/>
  <c r="C5" i="6"/>
  <c r="I4" i="6"/>
  <c r="H4" i="6"/>
  <c r="G4" i="6"/>
  <c r="F4" i="6"/>
  <c r="E4" i="6"/>
  <c r="D4" i="6"/>
  <c r="C4" i="6"/>
  <c r="H4" i="1"/>
  <c r="I9" i="1"/>
  <c r="H9" i="1"/>
  <c r="G9" i="1"/>
  <c r="F9" i="1"/>
  <c r="E9" i="1"/>
  <c r="D9" i="1"/>
  <c r="C9" i="1"/>
  <c r="I8" i="1"/>
  <c r="H8" i="1"/>
  <c r="G8" i="1"/>
  <c r="F8" i="1"/>
  <c r="E8" i="1"/>
  <c r="D8" i="1"/>
  <c r="C8" i="1"/>
  <c r="I7" i="1"/>
  <c r="H7" i="1"/>
  <c r="G7" i="1"/>
  <c r="F7" i="1"/>
  <c r="E7" i="1"/>
  <c r="D7" i="1"/>
  <c r="C7" i="1"/>
  <c r="I6" i="1"/>
  <c r="H6" i="1"/>
  <c r="G6" i="1"/>
  <c r="F6" i="1"/>
  <c r="E6" i="1"/>
  <c r="D6" i="1"/>
  <c r="C6" i="1"/>
  <c r="I5" i="1"/>
  <c r="H5" i="1"/>
  <c r="G5" i="1"/>
  <c r="F5" i="1"/>
  <c r="E5" i="1"/>
  <c r="D5" i="1"/>
  <c r="C5" i="1"/>
  <c r="I4" i="1"/>
  <c r="G4" i="1"/>
  <c r="F4" i="1"/>
  <c r="E4" i="1"/>
  <c r="D4" i="1"/>
</calcChain>
</file>

<file path=xl/sharedStrings.xml><?xml version="1.0" encoding="utf-8"?>
<sst xmlns="http://schemas.openxmlformats.org/spreadsheetml/2006/main" count="555" uniqueCount="42">
  <si>
    <t>1 月</t>
  </si>
  <si>
    <t>作業</t>
  </si>
  <si>
    <t>一</t>
  </si>
  <si>
    <t>二</t>
  </si>
  <si>
    <t>三</t>
  </si>
  <si>
    <t>五</t>
  </si>
  <si>
    <t>六</t>
  </si>
  <si>
    <t>週一</t>
  </si>
  <si>
    <t>法文：第一份報告草稿到期日</t>
  </si>
  <si>
    <t>週二</t>
  </si>
  <si>
    <t>每週課表</t>
  </si>
  <si>
    <t>週三</t>
  </si>
  <si>
    <t>週四</t>
  </si>
  <si>
    <t>週五</t>
  </si>
  <si>
    <t>8:00</t>
  </si>
  <si>
    <t>法文</t>
  </si>
  <si>
    <t>9:00</t>
  </si>
  <si>
    <t>藝術史</t>
  </si>
  <si>
    <t>10:00</t>
  </si>
  <si>
    <t>數學</t>
  </si>
  <si>
    <t>2:00</t>
  </si>
  <si>
    <t>英文</t>
  </si>
  <si>
    <t>4:00</t>
  </si>
  <si>
    <t>程式設計</t>
  </si>
  <si>
    <t>2 月</t>
  </si>
  <si>
    <t>3 月</t>
  </si>
  <si>
    <t>4 月</t>
  </si>
  <si>
    <t>5 月</t>
  </si>
  <si>
    <t>6 月</t>
  </si>
  <si>
    <t>7 月</t>
  </si>
  <si>
    <t>8 月</t>
  </si>
  <si>
    <t>9 月</t>
  </si>
  <si>
    <t>10 月</t>
  </si>
  <si>
    <t>11 月</t>
  </si>
  <si>
    <t>12 月</t>
  </si>
  <si>
    <t>週二</t>
  </si>
  <si>
    <t>週四</t>
  </si>
  <si>
    <t>&lt; 在 N2 輸入行事曆年份。</t>
    <phoneticPr fontId="1" type="noConversion"/>
  </si>
  <si>
    <t>四</t>
  </si>
  <si>
    <t>日</t>
  </si>
  <si>
    <t>藝術史</t>
    <phoneticPr fontId="1" type="noConversion"/>
  </si>
  <si>
    <t>藝術史： 測驗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</si>
</sst>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d"/>
  </numFmts>
  <fonts count="29" x14ac:knownFonts="1">
    <font>
      <sz val="10"/>
      <color theme="1"/>
      <name val="Microsoft JhengHei UI"/>
      <family val="2"/>
      <charset val="136"/>
    </font>
    <font>
      <sz val="8"/>
      <name val="微軟正黑體"/>
      <family val="2"/>
      <scheme val="minor"/>
    </font>
    <font>
      <sz val="10"/>
      <color theme="1"/>
      <name val="Microsoft JhengHei UI"/>
      <family val="2"/>
      <charset val="136"/>
    </font>
    <font>
      <b/>
      <sz val="17"/>
      <color theme="4"/>
      <name val="Microsoft JhengHei UI"/>
      <family val="2"/>
      <charset val="136"/>
    </font>
    <font>
      <b/>
      <sz val="10"/>
      <color rgb="FF39B5D4"/>
      <name val="Microsoft JhengHei UI"/>
      <family val="2"/>
      <charset val="136"/>
    </font>
    <font>
      <b/>
      <sz val="24"/>
      <color theme="4"/>
      <name val="Microsoft JhengHei UI"/>
      <family val="2"/>
      <charset val="136"/>
    </font>
    <font>
      <sz val="10.5"/>
      <color theme="1" tint="0.249977111117893"/>
      <name val="Microsoft JhengHei UI"/>
      <family val="2"/>
      <charset val="136"/>
    </font>
    <font>
      <b/>
      <sz val="12"/>
      <color theme="4"/>
      <name val="Microsoft JhengHei UI"/>
      <family val="2"/>
      <charset val="136"/>
    </font>
    <font>
      <b/>
      <sz val="10"/>
      <color theme="1"/>
      <name val="Microsoft JhengHei UI"/>
      <family val="2"/>
      <charset val="136"/>
    </font>
    <font>
      <sz val="10"/>
      <color theme="1" tint="0.249977111117893"/>
      <name val="Microsoft JhengHei UI"/>
      <family val="2"/>
      <charset val="136"/>
    </font>
    <font>
      <b/>
      <sz val="10.5"/>
      <name val="Microsoft JhengHei UI"/>
      <family val="2"/>
      <charset val="136"/>
    </font>
    <font>
      <sz val="10"/>
      <color theme="0"/>
      <name val="Microsoft JhengHei UI"/>
      <family val="2"/>
      <charset val="136"/>
    </font>
    <font>
      <sz val="8.5"/>
      <color theme="1"/>
      <name val="Microsoft JhengHei UI"/>
      <family val="2"/>
      <charset val="136"/>
    </font>
    <font>
      <sz val="12"/>
      <color theme="4"/>
      <name val="Microsoft JhengHei UI"/>
      <family val="2"/>
      <charset val="136"/>
    </font>
    <font>
      <sz val="12"/>
      <color rgb="FF002060"/>
      <name val="Microsoft JhengHei UI"/>
      <family val="2"/>
      <charset val="136"/>
    </font>
    <font>
      <sz val="12"/>
      <color theme="1" tint="0.249977111117893"/>
      <name val="Microsoft JhengHei UI"/>
      <family val="2"/>
      <charset val="136"/>
    </font>
    <font>
      <sz val="12"/>
      <color rgb="FF9C6500"/>
      <name val="Microsoft JhengHei UI"/>
      <family val="2"/>
      <charset val="136"/>
    </font>
    <font>
      <sz val="12"/>
      <color rgb="FF006100"/>
      <name val="Microsoft JhengHei UI"/>
      <family val="2"/>
      <charset val="136"/>
    </font>
    <font>
      <sz val="12"/>
      <color rgb="FF9C0006"/>
      <name val="Microsoft JhengHei UI"/>
      <family val="2"/>
      <charset val="136"/>
    </font>
    <font>
      <b/>
      <sz val="12"/>
      <color rgb="FFFA7D00"/>
      <name val="Microsoft JhengHei UI"/>
      <family val="2"/>
      <charset val="136"/>
    </font>
    <font>
      <sz val="12"/>
      <color rgb="FFFA7D00"/>
      <name val="Microsoft JhengHei UI"/>
      <family val="2"/>
      <charset val="136"/>
    </font>
    <font>
      <sz val="12"/>
      <color rgb="FF7F7F7F"/>
      <name val="Microsoft JhengHei UI"/>
      <family val="2"/>
      <charset val="136"/>
    </font>
    <font>
      <sz val="12"/>
      <color rgb="FF3F3F76"/>
      <name val="Microsoft JhengHei UI"/>
      <family val="2"/>
      <charset val="136"/>
    </font>
    <font>
      <b/>
      <sz val="12"/>
      <color rgb="FF3F3F3F"/>
      <name val="Microsoft JhengHei UI"/>
      <family val="2"/>
      <charset val="136"/>
    </font>
    <font>
      <b/>
      <sz val="12"/>
      <color theme="0"/>
      <name val="Microsoft JhengHei UI"/>
      <family val="2"/>
      <charset val="136"/>
    </font>
    <font>
      <sz val="12"/>
      <color rgb="FFFF0000"/>
      <name val="Microsoft JhengHei UI"/>
      <family val="2"/>
      <charset val="136"/>
    </font>
    <font>
      <b/>
      <sz val="12"/>
      <color theme="1"/>
      <name val="Microsoft JhengHei UI"/>
      <family val="2"/>
      <charset val="136"/>
    </font>
    <font>
      <b/>
      <sz val="26"/>
      <color theme="4"/>
      <name val="Microsoft JhengHei UI"/>
      <family val="2"/>
      <charset val="136"/>
    </font>
    <font>
      <sz val="9"/>
      <name val="Microsoft JhengHei UI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</fills>
  <borders count="50">
    <border>
      <left/>
      <right/>
      <top/>
      <bottom/>
      <diagonal/>
    </border>
    <border>
      <left/>
      <right/>
      <top/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5"/>
      </top>
      <bottom style="thin">
        <color theme="4" tint="0.79998168889431442"/>
      </bottom>
      <diagonal/>
    </border>
    <border>
      <left/>
      <right style="thin">
        <color theme="0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 style="thin">
        <color theme="4" tint="0.79998168889431442"/>
      </left>
      <right style="thin">
        <color theme="0"/>
      </right>
      <top/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4" tint="0.79998168889431442"/>
      </left>
      <right style="thin">
        <color theme="0"/>
      </right>
      <top/>
      <bottom style="thin">
        <color theme="4" tint="0.79995117038483843"/>
      </bottom>
      <diagonal/>
    </border>
    <border>
      <left style="thin">
        <color theme="0"/>
      </left>
      <right/>
      <top/>
      <bottom style="thin">
        <color theme="4" tint="0.79995117038483843"/>
      </bottom>
      <diagonal/>
    </border>
    <border>
      <left/>
      <right style="thin">
        <color theme="0"/>
      </right>
      <top/>
      <bottom style="thin">
        <color theme="4" tint="0.79995117038483843"/>
      </bottom>
      <diagonal/>
    </border>
    <border>
      <left/>
      <right/>
      <top/>
      <bottom style="thin">
        <color theme="4" tint="0.79995117038483843"/>
      </bottom>
      <diagonal/>
    </border>
    <border>
      <left/>
      <right style="thin">
        <color theme="4" tint="0.79992065187536243"/>
      </right>
      <top/>
      <bottom style="thin">
        <color theme="4" tint="0.79995117038483843"/>
      </bottom>
      <diagonal/>
    </border>
    <border>
      <left/>
      <right style="thin">
        <color theme="4" tint="0.79992065187536243"/>
      </right>
      <top/>
      <bottom/>
      <diagonal/>
    </border>
    <border>
      <left/>
      <right/>
      <top style="thin">
        <color theme="4" tint="0.79998168889431442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5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4" tint="0.79998168889431442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5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4" tint="0.79992065187536243"/>
      </right>
      <top/>
      <bottom style="thin">
        <color theme="0"/>
      </bottom>
      <diagonal/>
    </border>
    <border>
      <left/>
      <right style="thin">
        <color theme="4" tint="0.79992065187536243"/>
      </right>
      <top style="thin">
        <color theme="0"/>
      </top>
      <bottom/>
      <diagonal/>
    </border>
    <border>
      <left style="thin">
        <color theme="4" tint="0.79992065187536243"/>
      </left>
      <right/>
      <top/>
      <bottom/>
      <diagonal/>
    </border>
    <border>
      <left style="thin">
        <color theme="4" tint="0.79992065187536243"/>
      </left>
      <right/>
      <top/>
      <bottom style="thin">
        <color theme="4" tint="0.79989013336588644"/>
      </bottom>
      <diagonal/>
    </border>
    <border>
      <left/>
      <right/>
      <top/>
      <bottom style="thin">
        <color theme="4" tint="0.79989013336588644"/>
      </bottom>
      <diagonal/>
    </border>
    <border>
      <left/>
      <right style="thin">
        <color theme="4" tint="0.79989013336588644"/>
      </right>
      <top/>
      <bottom style="thin">
        <color theme="4" tint="0.79989013336588644"/>
      </bottom>
      <diagonal/>
    </border>
    <border>
      <left style="thin">
        <color theme="4" tint="0.79992065187536243"/>
      </left>
      <right/>
      <top style="thin">
        <color theme="4" tint="0.79989013336588644"/>
      </top>
      <bottom/>
      <diagonal/>
    </border>
    <border>
      <left/>
      <right/>
      <top style="thin">
        <color theme="4" tint="0.79989013336588644"/>
      </top>
      <bottom/>
      <diagonal/>
    </border>
    <border>
      <left/>
      <right style="thin">
        <color theme="4" tint="0.79989013336588644"/>
      </right>
      <top style="thin">
        <color theme="4" tint="0.79989013336588644"/>
      </top>
      <bottom/>
      <diagonal/>
    </border>
    <border>
      <left style="thin">
        <color theme="4" tint="0.79992065187536243"/>
      </left>
      <right/>
      <top style="thin">
        <color theme="4" tint="0.79998168889431442"/>
      </top>
      <bottom/>
      <diagonal/>
    </border>
    <border>
      <left/>
      <right/>
      <top style="thin">
        <color theme="4" tint="0.79989013336588644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4" tint="0.79989013336588644"/>
      </top>
      <bottom style="thin">
        <color theme="5"/>
      </bottom>
      <diagonal/>
    </border>
    <border>
      <left style="thin">
        <color theme="4" tint="0.79998168889431442"/>
      </left>
      <right/>
      <top style="thin">
        <color theme="4" tint="0.79995117038483843"/>
      </top>
      <bottom/>
      <diagonal/>
    </border>
    <border>
      <left/>
      <right/>
      <top style="thin">
        <color theme="4" tint="0.79995117038483843"/>
      </top>
      <bottom/>
      <diagonal/>
    </border>
    <border>
      <left/>
      <right style="thin">
        <color theme="4" tint="0.79992065187536243"/>
      </right>
      <top style="thin">
        <color theme="4" tint="0.79995117038483843"/>
      </top>
      <bottom/>
      <diagonal/>
    </border>
    <border>
      <left style="thin">
        <color theme="4" tint="0.79998168889431442"/>
      </left>
      <right/>
      <top/>
      <bottom style="thin">
        <color theme="4" tint="0.79995117038483843"/>
      </bottom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/>
      <right style="thin">
        <color theme="4" tint="0.79985961485641044"/>
      </right>
      <top/>
      <bottom style="thin">
        <color theme="4" tint="0.7998901333658864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8">
    <xf numFmtId="0" fontId="0" fillId="0" borderId="0"/>
    <xf numFmtId="0" fontId="2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Protection="0">
      <alignment textRotation="90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2" fillId="7" borderId="44" applyNumberFormat="0" applyAlignment="0" applyProtection="0">
      <alignment vertical="center"/>
    </xf>
    <xf numFmtId="0" fontId="23" fillId="8" borderId="45" applyNumberFormat="0" applyAlignment="0" applyProtection="0">
      <alignment vertical="center"/>
    </xf>
    <xf numFmtId="0" fontId="19" fillId="8" borderId="44" applyNumberFormat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4" fillId="9" borderId="4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" fillId="10" borderId="4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49" applyNumberFormat="0" applyFill="0" applyAlignment="0" applyProtection="0">
      <alignment vertical="center"/>
    </xf>
  </cellStyleXfs>
  <cellXfs count="91">
    <xf numFmtId="0" fontId="0" fillId="0" borderId="0" xfId="0"/>
    <xf numFmtId="0" fontId="0" fillId="0" borderId="0" xfId="0" applyFont="1"/>
    <xf numFmtId="0" fontId="0" fillId="0" borderId="8" xfId="0" applyFont="1" applyBorder="1"/>
    <xf numFmtId="0" fontId="0" fillId="0" borderId="15" xfId="0" applyFont="1" applyBorder="1"/>
    <xf numFmtId="0" fontId="0" fillId="0" borderId="39" xfId="0" applyFont="1" applyBorder="1"/>
    <xf numFmtId="0" fontId="0" fillId="0" borderId="40" xfId="0" applyFont="1" applyBorder="1"/>
    <xf numFmtId="0" fontId="0" fillId="0" borderId="14" xfId="0" applyFont="1" applyBorder="1"/>
    <xf numFmtId="0" fontId="0" fillId="0" borderId="38" xfId="0" applyFont="1" applyBorder="1"/>
    <xf numFmtId="0" fontId="2" fillId="0" borderId="0" xfId="0" applyFont="1"/>
    <xf numFmtId="0" fontId="2" fillId="0" borderId="8" xfId="0" applyFont="1" applyBorder="1"/>
    <xf numFmtId="0" fontId="2" fillId="0" borderId="38" xfId="0" applyFont="1" applyBorder="1"/>
    <xf numFmtId="0" fontId="2" fillId="0" borderId="39" xfId="0" applyFont="1" applyBorder="1"/>
    <xf numFmtId="0" fontId="2" fillId="0" borderId="40" xfId="0" applyFont="1" applyBorder="1"/>
    <xf numFmtId="0" fontId="4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Border="1"/>
    <xf numFmtId="176" fontId="6" fillId="0" borderId="0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5" fillId="0" borderId="6" xfId="2" applyFont="1" applyFill="1" applyBorder="1" applyAlignment="1">
      <alignment vertical="top"/>
    </xf>
    <xf numFmtId="0" fontId="8" fillId="0" borderId="2" xfId="0" applyFont="1" applyBorder="1" applyAlignment="1">
      <alignment horizontal="center"/>
    </xf>
    <xf numFmtId="0" fontId="7" fillId="0" borderId="0" xfId="0" applyFont="1" applyBorder="1" applyAlignment="1">
      <alignment horizontal="right" vertical="center" textRotation="90"/>
    </xf>
    <xf numFmtId="0" fontId="8" fillId="0" borderId="0" xfId="0" applyFont="1" applyBorder="1" applyAlignment="1">
      <alignment horizontal="right" vertical="center"/>
    </xf>
    <xf numFmtId="0" fontId="8" fillId="0" borderId="4" xfId="0" applyFont="1" applyBorder="1" applyAlignment="1">
      <alignment horizontal="center"/>
    </xf>
    <xf numFmtId="0" fontId="5" fillId="0" borderId="41" xfId="2" applyFont="1" applyFill="1" applyBorder="1" applyAlignment="1">
      <alignment vertical="top"/>
    </xf>
    <xf numFmtId="176" fontId="10" fillId="0" borderId="13" xfId="0" applyNumberFormat="1" applyFont="1" applyFill="1" applyBorder="1" applyAlignment="1">
      <alignment horizontal="left" vertical="center" wrapText="1" indent="1"/>
    </xf>
    <xf numFmtId="0" fontId="2" fillId="0" borderId="14" xfId="0" applyFont="1" applyBorder="1"/>
    <xf numFmtId="0" fontId="11" fillId="2" borderId="7" xfId="0" applyFont="1" applyFill="1" applyBorder="1" applyAlignment="1">
      <alignment horizontal="left" indent="1"/>
    </xf>
    <xf numFmtId="0" fontId="8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center"/>
    </xf>
    <xf numFmtId="0" fontId="13" fillId="0" borderId="0" xfId="0" applyFont="1" applyBorder="1" applyAlignment="1">
      <alignment horizontal="right" vertical="center" textRotation="90"/>
    </xf>
    <xf numFmtId="0" fontId="12" fillId="3" borderId="10" xfId="0" applyFont="1" applyFill="1" applyBorder="1" applyAlignment="1">
      <alignment horizontal="left" vertical="top" indent="1"/>
    </xf>
    <xf numFmtId="176" fontId="14" fillId="0" borderId="13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center"/>
    </xf>
    <xf numFmtId="0" fontId="5" fillId="0" borderId="6" xfId="2" applyFont="1" applyFill="1" applyBorder="1" applyAlignment="1">
      <alignment vertical="center" textRotation="90"/>
    </xf>
    <xf numFmtId="0" fontId="5" fillId="0" borderId="41" xfId="2" applyFont="1" applyFill="1" applyBorder="1" applyAlignment="1">
      <alignment vertical="center" textRotation="90"/>
    </xf>
    <xf numFmtId="0" fontId="0" fillId="3" borderId="20" xfId="0" applyFont="1" applyFill="1" applyBorder="1" applyAlignment="1">
      <alignment horizontal="left" vertical="top" indent="1"/>
    </xf>
    <xf numFmtId="49" fontId="8" fillId="3" borderId="7" xfId="0" applyNumberFormat="1" applyFont="1" applyFill="1" applyBorder="1" applyAlignment="1">
      <alignment horizontal="left" indent="1"/>
    </xf>
    <xf numFmtId="49" fontId="8" fillId="3" borderId="23" xfId="0" applyNumberFormat="1" applyFont="1" applyFill="1" applyBorder="1" applyAlignment="1">
      <alignment horizontal="left" indent="1"/>
    </xf>
    <xf numFmtId="0" fontId="0" fillId="3" borderId="10" xfId="0" applyFont="1" applyFill="1" applyBorder="1" applyAlignment="1">
      <alignment horizontal="left" vertical="top" indent="1"/>
    </xf>
    <xf numFmtId="0" fontId="7" fillId="0" borderId="35" xfId="5" applyFont="1" applyBorder="1" applyAlignment="1">
      <alignment vertical="top"/>
    </xf>
    <xf numFmtId="0" fontId="7" fillId="0" borderId="28" xfId="5" applyFont="1" applyBorder="1" applyAlignment="1">
      <alignment vertical="top"/>
    </xf>
    <xf numFmtId="0" fontId="9" fillId="0" borderId="2" xfId="0" applyFont="1" applyBorder="1" applyAlignment="1">
      <alignment horizontal="left"/>
    </xf>
    <xf numFmtId="0" fontId="9" fillId="0" borderId="17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11" fillId="2" borderId="9" xfId="0" applyFont="1" applyFill="1" applyBorder="1" applyAlignment="1">
      <alignment horizontal="left" indent="1"/>
    </xf>
    <xf numFmtId="0" fontId="11" fillId="2" borderId="15" xfId="0" applyFont="1" applyFill="1" applyBorder="1" applyAlignment="1">
      <alignment horizontal="left" indent="1"/>
    </xf>
    <xf numFmtId="0" fontId="11" fillId="2" borderId="5" xfId="0" applyFont="1" applyFill="1" applyBorder="1" applyAlignment="1">
      <alignment horizontal="left" indent="1"/>
    </xf>
    <xf numFmtId="0" fontId="3" fillId="0" borderId="32" xfId="3" applyFont="1" applyBorder="1" applyAlignment="1">
      <alignment horizontal="left" vertical="center" indent="2"/>
    </xf>
    <xf numFmtId="0" fontId="3" fillId="0" borderId="33" xfId="3" applyFont="1" applyBorder="1" applyAlignment="1">
      <alignment horizontal="left" vertical="center" indent="2"/>
    </xf>
    <xf numFmtId="0" fontId="3" fillId="0" borderId="29" xfId="3" applyFont="1" applyBorder="1" applyAlignment="1">
      <alignment horizontal="left" vertical="center" indent="2"/>
    </xf>
    <xf numFmtId="0" fontId="3" fillId="0" borderId="30" xfId="3" applyFont="1" applyBorder="1" applyAlignment="1">
      <alignment horizontal="left" vertical="center" indent="2"/>
    </xf>
    <xf numFmtId="0" fontId="7" fillId="0" borderId="32" xfId="5" applyFont="1" applyBorder="1" applyAlignment="1">
      <alignment vertical="top"/>
    </xf>
    <xf numFmtId="0" fontId="9" fillId="0" borderId="36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3" fillId="0" borderId="34" xfId="3" applyFont="1" applyFill="1" applyBorder="1" applyAlignment="1">
      <alignment horizontal="center" vertical="center"/>
    </xf>
    <xf numFmtId="0" fontId="3" fillId="0" borderId="31" xfId="3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left" vertical="top" indent="1"/>
    </xf>
    <xf numFmtId="0" fontId="0" fillId="3" borderId="22" xfId="0" applyFont="1" applyFill="1" applyBorder="1" applyAlignment="1">
      <alignment horizontal="left" vertical="top" indent="1"/>
    </xf>
    <xf numFmtId="49" fontId="8" fillId="3" borderId="9" xfId="0" applyNumberFormat="1" applyFont="1" applyFill="1" applyBorder="1" applyAlignment="1">
      <alignment horizontal="left" indent="1"/>
    </xf>
    <xf numFmtId="49" fontId="8" fillId="3" borderId="5" xfId="0" applyNumberFormat="1" applyFont="1" applyFill="1" applyBorder="1" applyAlignment="1">
      <alignment horizontal="left" indent="1"/>
    </xf>
    <xf numFmtId="49" fontId="8" fillId="3" borderId="24" xfId="0" applyNumberFormat="1" applyFont="1" applyFill="1" applyBorder="1" applyAlignment="1">
      <alignment horizontal="left" indent="1"/>
    </xf>
    <xf numFmtId="49" fontId="8" fillId="3" borderId="25" xfId="0" applyNumberFormat="1" applyFont="1" applyFill="1" applyBorder="1" applyAlignment="1">
      <alignment horizontal="left" indent="1"/>
    </xf>
    <xf numFmtId="0" fontId="0" fillId="3" borderId="11" xfId="0" applyFont="1" applyFill="1" applyBorder="1" applyAlignment="1">
      <alignment horizontal="left" vertical="top" indent="1"/>
    </xf>
    <xf numFmtId="0" fontId="0" fillId="3" borderId="12" xfId="0" applyFont="1" applyFill="1" applyBorder="1" applyAlignment="1">
      <alignment horizontal="left" vertical="top" indent="1"/>
    </xf>
    <xf numFmtId="176" fontId="0" fillId="3" borderId="21" xfId="0" applyNumberFormat="1" applyFont="1" applyFill="1" applyBorder="1" applyAlignment="1">
      <alignment horizontal="left" vertical="top" indent="1"/>
    </xf>
    <xf numFmtId="176" fontId="0" fillId="3" borderId="26" xfId="0" applyNumberFormat="1" applyFont="1" applyFill="1" applyBorder="1" applyAlignment="1">
      <alignment horizontal="left" vertical="top" indent="1"/>
    </xf>
    <xf numFmtId="49" fontId="8" fillId="3" borderId="27" xfId="0" applyNumberFormat="1" applyFont="1" applyFill="1" applyBorder="1" applyAlignment="1">
      <alignment horizontal="left" indent="1"/>
    </xf>
    <xf numFmtId="49" fontId="8" fillId="3" borderId="15" xfId="0" applyNumberFormat="1" applyFont="1" applyFill="1" applyBorder="1" applyAlignment="1">
      <alignment horizontal="left" indent="1"/>
    </xf>
    <xf numFmtId="49" fontId="8" fillId="3" borderId="9" xfId="0" applyNumberFormat="1" applyFont="1" applyFill="1" applyBorder="1" applyAlignment="1">
      <alignment horizontal="left" vertical="center" indent="1"/>
    </xf>
    <xf numFmtId="49" fontId="8" fillId="3" borderId="15" xfId="0" applyNumberFormat="1" applyFont="1" applyFill="1" applyBorder="1" applyAlignment="1">
      <alignment horizontal="left" vertical="center" indent="1"/>
    </xf>
    <xf numFmtId="0" fontId="8" fillId="3" borderId="21" xfId="0" applyFont="1" applyFill="1" applyBorder="1" applyAlignment="1">
      <alignment horizontal="left" vertical="top" indent="1"/>
    </xf>
    <xf numFmtId="0" fontId="8" fillId="3" borderId="26" xfId="0" applyFont="1" applyFill="1" applyBorder="1" applyAlignment="1">
      <alignment horizontal="left" vertical="top" indent="1"/>
    </xf>
    <xf numFmtId="0" fontId="0" fillId="3" borderId="26" xfId="0" applyFont="1" applyFill="1" applyBorder="1" applyAlignment="1">
      <alignment horizontal="left" vertical="top" indent="1"/>
    </xf>
    <xf numFmtId="0" fontId="5" fillId="0" borderId="6" xfId="2" applyFont="1" applyFill="1" applyBorder="1" applyAlignment="1">
      <alignment vertical="top"/>
    </xf>
    <xf numFmtId="0" fontId="4" fillId="0" borderId="0" xfId="0" applyFont="1" applyAlignment="1">
      <alignment vertical="center" wrapText="1"/>
    </xf>
    <xf numFmtId="0" fontId="7" fillId="0" borderId="6" xfId="4" applyFont="1" applyBorder="1" applyAlignment="1">
      <alignment horizontal="left" vertical="center"/>
    </xf>
    <xf numFmtId="0" fontId="7" fillId="0" borderId="0" xfId="4" applyFont="1" applyAlignment="1">
      <alignment horizontal="left" vertical="center"/>
    </xf>
    <xf numFmtId="0" fontId="7" fillId="0" borderId="15" xfId="4" applyFont="1" applyBorder="1" applyAlignment="1">
      <alignment horizontal="left" vertical="center"/>
    </xf>
    <xf numFmtId="176" fontId="15" fillId="0" borderId="4" xfId="0" applyNumberFormat="1" applyFont="1" applyFill="1" applyBorder="1" applyAlignment="1">
      <alignment horizontal="left"/>
    </xf>
    <xf numFmtId="176" fontId="15" fillId="0" borderId="19" xfId="0" applyNumberFormat="1" applyFont="1" applyFill="1" applyBorder="1" applyAlignment="1">
      <alignment horizontal="left"/>
    </xf>
    <xf numFmtId="176" fontId="0" fillId="3" borderId="11" xfId="0" applyNumberFormat="1" applyFont="1" applyFill="1" applyBorder="1" applyAlignment="1">
      <alignment horizontal="left" vertical="top" indent="1"/>
    </xf>
    <xf numFmtId="176" fontId="0" fillId="3" borderId="14" xfId="0" applyNumberFormat="1" applyFont="1" applyFill="1" applyBorder="1" applyAlignment="1">
      <alignment horizontal="left" vertical="top" indent="1"/>
    </xf>
    <xf numFmtId="0" fontId="3" fillId="0" borderId="42" xfId="3" applyFont="1" applyBorder="1" applyAlignment="1">
      <alignment horizontal="center" vertical="center"/>
    </xf>
    <xf numFmtId="0" fontId="3" fillId="0" borderId="43" xfId="3" applyFont="1" applyBorder="1" applyAlignment="1">
      <alignment horizontal="center" vertical="center"/>
    </xf>
    <xf numFmtId="0" fontId="12" fillId="3" borderId="11" xfId="0" applyFont="1" applyFill="1" applyBorder="1" applyAlignment="1">
      <alignment horizontal="left" vertical="top" indent="1"/>
    </xf>
    <xf numFmtId="0" fontId="12" fillId="3" borderId="12" xfId="0" applyFont="1" applyFill="1" applyBorder="1" applyAlignment="1">
      <alignment horizontal="left" vertical="top" indent="1"/>
    </xf>
    <xf numFmtId="176" fontId="12" fillId="3" borderId="11" xfId="0" applyNumberFormat="1" applyFont="1" applyFill="1" applyBorder="1" applyAlignment="1">
      <alignment horizontal="left" vertical="top" indent="1"/>
    </xf>
    <xf numFmtId="176" fontId="12" fillId="3" borderId="14" xfId="0" applyNumberFormat="1" applyFont="1" applyFill="1" applyBorder="1" applyAlignment="1">
      <alignment horizontal="left" vertical="top" indent="1"/>
    </xf>
  </cellXfs>
  <cellStyles count="18"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71">
    <dxf>
      <fill>
        <patternFill>
          <bgColor theme="4" tint="0.79998168889431442"/>
        </patternFill>
      </fill>
    </dxf>
    <dxf>
      <font>
        <b val="0"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70"/>
      <tableStyleElement type="headerRow" dxfId="69"/>
      <tableStyleElement type="totalRow" dxfId="68"/>
      <tableStyleElement type="firstColumn" dxfId="67"/>
      <tableStyleElement type="lastColumn" dxfId="66"/>
      <tableStyleElement type="firstRowStripe" dxfId="65"/>
      <tableStyleElement type="firstColumnStripe" dxfId="64"/>
    </tableStyle>
    <tableStyle name="TableStyleLight9 2" pivot="0" count="4">
      <tableStyleElement type="wholeTable" dxfId="63"/>
      <tableStyleElement type="headerRow" dxfId="62"/>
      <tableStyleElement type="totalRow" dxfId="61"/>
      <tableStyleElement type="firstColumn" dxfId="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c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c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r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r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y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Ju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Jul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ug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p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b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r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y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g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10_college_cal">
  <a:themeElements>
    <a:clrScheme name="Assignment Calenda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39B5D4"/>
      </a:accent1>
      <a:accent2>
        <a:srgbClr val="FFCCCC"/>
      </a:accent2>
      <a:accent3>
        <a:srgbClr val="4DBB68"/>
      </a:accent3>
      <a:accent4>
        <a:srgbClr val="FFFB59"/>
      </a:accent4>
      <a:accent5>
        <a:srgbClr val="FF9900"/>
      </a:accent5>
      <a:accent6>
        <a:srgbClr val="AC75D5"/>
      </a:accent6>
      <a:hlink>
        <a:srgbClr val="57B5D4"/>
      </a:hlink>
      <a:folHlink>
        <a:srgbClr val="BA4F8B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Q33"/>
  <sheetViews>
    <sheetView showGridLines="0" tabSelected="1" zoomScaleNormal="100" zoomScalePageLayoutView="84" workbookViewId="0"/>
  </sheetViews>
  <sheetFormatPr defaultColWidth="8.625" defaultRowHeight="16.5" customHeight="1" x14ac:dyDescent="0.25"/>
  <cols>
    <col min="1" max="1" width="2.125" style="8" customWidth="1"/>
    <col min="2" max="2" width="12.625" style="8" customWidth="1"/>
    <col min="3" max="10" width="6.625" style="8" customWidth="1"/>
    <col min="11" max="11" width="7.125" style="8" customWidth="1"/>
    <col min="12" max="12" width="3.875" style="8" customWidth="1"/>
    <col min="13" max="13" width="51.375" style="8" customWidth="1"/>
    <col min="14" max="14" width="10.625" style="8" customWidth="1"/>
    <col min="15" max="15" width="2.125" style="8" customWidth="1"/>
    <col min="16" max="16" width="30.875" style="8" customWidth="1"/>
    <col min="17" max="22" width="8.875" style="8" customWidth="1"/>
    <col min="23" max="16384" width="8.625" style="8"/>
  </cols>
  <sheetData>
    <row r="1" spans="1:17" ht="11.25" customHeight="1" x14ac:dyDescent="0.25"/>
    <row r="2" spans="1:17" ht="18" customHeight="1" x14ac:dyDescent="0.25">
      <c r="A2" s="9"/>
      <c r="B2" s="10"/>
      <c r="C2" s="11"/>
      <c r="D2" s="11"/>
      <c r="E2" s="11"/>
      <c r="F2" s="11"/>
      <c r="G2" s="11"/>
      <c r="H2" s="11"/>
      <c r="I2" s="11"/>
      <c r="J2" s="12"/>
      <c r="K2" s="50" t="s">
        <v>1</v>
      </c>
      <c r="L2" s="51">
        <v>2013</v>
      </c>
      <c r="M2" s="51"/>
      <c r="N2" s="57">
        <v>2015</v>
      </c>
      <c r="P2" s="77" t="s">
        <v>37</v>
      </c>
      <c r="Q2" s="13"/>
    </row>
    <row r="3" spans="1:17" ht="21" customHeight="1" x14ac:dyDescent="0.25">
      <c r="A3" s="9"/>
      <c r="B3" s="76" t="s">
        <v>0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15"/>
      <c r="K3" s="52"/>
      <c r="L3" s="53"/>
      <c r="M3" s="53"/>
      <c r="N3" s="58"/>
      <c r="P3" s="77"/>
      <c r="Q3" s="13"/>
    </row>
    <row r="4" spans="1:17" ht="18" customHeight="1" x14ac:dyDescent="0.25">
      <c r="A4" s="9"/>
      <c r="B4" s="76"/>
      <c r="C4" s="16">
        <f>IF(DAY(JanSun1)=1,JanSun1-6,JanSun1+1)</f>
        <v>42001</v>
      </c>
      <c r="D4" s="16">
        <f>IF(DAY(JanSun1)=1,JanSun1-5,JanSun1+2)</f>
        <v>42002</v>
      </c>
      <c r="E4" s="16">
        <f>IF(DAY(JanSun1)=1,JanSun1-4,JanSun1+3)</f>
        <v>42003</v>
      </c>
      <c r="F4" s="16">
        <f>IF(DAY(JanSun1)=1,JanSun1-3,JanSun1+4)</f>
        <v>42004</v>
      </c>
      <c r="G4" s="16">
        <f>IF(DAY(JanSun1)=1,JanSun1-2,JanSun1+5)</f>
        <v>42005</v>
      </c>
      <c r="H4" s="16">
        <f>IF(DAY(JanSun1)=1,JanSun1-1,JanSun1+6)</f>
        <v>42006</v>
      </c>
      <c r="I4" s="16">
        <f>IF(DAY(JanSun1)=1,JanSun1,JanSun1+7)</f>
        <v>42007</v>
      </c>
      <c r="J4" s="15"/>
      <c r="K4" s="54" t="s">
        <v>7</v>
      </c>
      <c r="L4" s="17">
        <v>5</v>
      </c>
      <c r="M4" s="55" t="s">
        <v>8</v>
      </c>
      <c r="N4" s="56"/>
      <c r="P4" s="13"/>
      <c r="Q4" s="13"/>
    </row>
    <row r="5" spans="1:17" ht="18" customHeight="1" x14ac:dyDescent="0.25">
      <c r="A5" s="9"/>
      <c r="B5" s="18"/>
      <c r="C5" s="16">
        <f>IF(DAY(JanSun1)=1,JanSun1+1,JanSun1+8)</f>
        <v>42008</v>
      </c>
      <c r="D5" s="16">
        <f>IF(DAY(JanSun1)=1,JanSun1+2,JanSun1+9)</f>
        <v>42009</v>
      </c>
      <c r="E5" s="16">
        <f>IF(DAY(JanSun1)=1,JanSun1+3,JanSun1+10)</f>
        <v>42010</v>
      </c>
      <c r="F5" s="16">
        <f>IF(DAY(JanSun1)=1,JanSun1+4,JanSun1+11)</f>
        <v>42011</v>
      </c>
      <c r="G5" s="16">
        <f>IF(DAY(JanSun1)=1,JanSun1+5,JanSun1+12)</f>
        <v>42012</v>
      </c>
      <c r="H5" s="16">
        <f>IF(DAY(JanSun1)=1,JanSun1+6,JanSun1+13)</f>
        <v>42013</v>
      </c>
      <c r="I5" s="16">
        <f>IF(DAY(JanSun1)=1,JanSun1+7,JanSun1+14)</f>
        <v>42014</v>
      </c>
      <c r="J5" s="15"/>
      <c r="K5" s="40"/>
      <c r="L5" s="19"/>
      <c r="M5" s="41"/>
      <c r="N5" s="42"/>
      <c r="P5" s="13"/>
      <c r="Q5" s="13"/>
    </row>
    <row r="6" spans="1:17" ht="18" customHeight="1" x14ac:dyDescent="0.25">
      <c r="A6" s="9"/>
      <c r="B6" s="18"/>
      <c r="C6" s="16">
        <f>IF(DAY(JanSun1)=1,JanSun1+8,JanSun1+15)</f>
        <v>42015</v>
      </c>
      <c r="D6" s="16">
        <f>IF(DAY(JanSun1)=1,JanSun1+9,JanSun1+16)</f>
        <v>42016</v>
      </c>
      <c r="E6" s="16">
        <f>IF(DAY(JanSun1)=1,JanSun1+10,JanSun1+17)</f>
        <v>42017</v>
      </c>
      <c r="F6" s="16">
        <f>IF(DAY(JanSun1)=1,JanSun1+11,JanSun1+18)</f>
        <v>42018</v>
      </c>
      <c r="G6" s="16">
        <f>IF(DAY(JanSun1)=1,JanSun1+12,JanSun1+19)</f>
        <v>42019</v>
      </c>
      <c r="H6" s="16">
        <f>IF(DAY(JanSun1)=1,JanSun1+13,JanSun1+20)</f>
        <v>42020</v>
      </c>
      <c r="I6" s="16">
        <f>IF(DAY(JanSun1)=1,JanSun1+14,JanSun1+21)</f>
        <v>42021</v>
      </c>
      <c r="J6" s="15"/>
      <c r="K6" s="40"/>
      <c r="L6" s="19"/>
      <c r="M6" s="41"/>
      <c r="N6" s="42"/>
    </row>
    <row r="7" spans="1:17" ht="18" customHeight="1" x14ac:dyDescent="0.25">
      <c r="A7" s="9"/>
      <c r="B7" s="18"/>
      <c r="C7" s="16">
        <f>IF(DAY(JanSun1)=1,JanSun1+15,JanSun1+22)</f>
        <v>42022</v>
      </c>
      <c r="D7" s="16">
        <f>IF(DAY(JanSun1)=1,JanSun1+16,JanSun1+23)</f>
        <v>42023</v>
      </c>
      <c r="E7" s="16">
        <f>IF(DAY(JanSun1)=1,JanSun1+17,JanSun1+24)</f>
        <v>42024</v>
      </c>
      <c r="F7" s="16">
        <f>IF(DAY(JanSun1)=1,JanSun1+18,JanSun1+25)</f>
        <v>42025</v>
      </c>
      <c r="G7" s="16">
        <f>IF(DAY(JanSun1)=1,JanSun1+19,JanSun1+26)</f>
        <v>42026</v>
      </c>
      <c r="H7" s="16">
        <f>IF(DAY(JanSun1)=1,JanSun1+20,JanSun1+27)</f>
        <v>42027</v>
      </c>
      <c r="I7" s="16">
        <f>IF(DAY(JanSun1)=1,JanSun1+21,JanSun1+28)</f>
        <v>42028</v>
      </c>
      <c r="J7" s="15"/>
      <c r="K7" s="20"/>
      <c r="L7" s="19"/>
      <c r="M7" s="41"/>
      <c r="N7" s="42"/>
    </row>
    <row r="8" spans="1:17" ht="18.75" customHeight="1" x14ac:dyDescent="0.25">
      <c r="A8" s="9"/>
      <c r="B8" s="18"/>
      <c r="C8" s="16">
        <f>IF(DAY(JanSun1)=1,JanSun1+22,JanSun1+29)</f>
        <v>42029</v>
      </c>
      <c r="D8" s="16">
        <f>IF(DAY(JanSun1)=1,JanSun1+23,JanSun1+30)</f>
        <v>42030</v>
      </c>
      <c r="E8" s="16">
        <f>IF(DAY(JanSun1)=1,JanSun1+24,JanSun1+31)</f>
        <v>42031</v>
      </c>
      <c r="F8" s="16">
        <f>IF(DAY(JanSun1)=1,JanSun1+25,JanSun1+32)</f>
        <v>42032</v>
      </c>
      <c r="G8" s="16">
        <f>IF(DAY(JanSun1)=1,JanSun1+26,JanSun1+33)</f>
        <v>42033</v>
      </c>
      <c r="H8" s="16">
        <f>IF(DAY(JanSun1)=1,JanSun1+27,JanSun1+34)</f>
        <v>42034</v>
      </c>
      <c r="I8" s="16">
        <f>IF(DAY(JanSun1)=1,JanSun1+28,JanSun1+35)</f>
        <v>42035</v>
      </c>
      <c r="J8" s="15"/>
      <c r="K8" s="20"/>
      <c r="L8" s="19"/>
      <c r="M8" s="41"/>
      <c r="N8" s="42"/>
    </row>
    <row r="9" spans="1:17" ht="18" customHeight="1" x14ac:dyDescent="0.25">
      <c r="A9" s="9"/>
      <c r="B9" s="18"/>
      <c r="C9" s="16">
        <f>IF(DAY(JanSun1)=1,JanSun1+29,JanSun1+36)</f>
        <v>42036</v>
      </c>
      <c r="D9" s="16">
        <f>IF(DAY(JanSun1)=1,JanSun1+30,JanSun1+37)</f>
        <v>42037</v>
      </c>
      <c r="E9" s="16">
        <f>IF(DAY(JanSun1)=1,JanSun1+31,JanSun1+38)</f>
        <v>42038</v>
      </c>
      <c r="F9" s="16">
        <f>IF(DAY(JanSun1)=1,JanSun1+32,JanSun1+39)</f>
        <v>42039</v>
      </c>
      <c r="G9" s="16">
        <f>IF(DAY(JanSun1)=1,JanSun1+33,JanSun1+40)</f>
        <v>42040</v>
      </c>
      <c r="H9" s="16">
        <f>IF(DAY(JanSun1)=1,JanSun1+34,JanSun1+41)</f>
        <v>42041</v>
      </c>
      <c r="I9" s="16">
        <f>IF(DAY(JanSun1)=1,JanSun1+35,JanSun1+42)</f>
        <v>42042</v>
      </c>
      <c r="J9" s="15"/>
      <c r="K9" s="21"/>
      <c r="L9" s="22"/>
      <c r="M9" s="43"/>
      <c r="N9" s="44"/>
    </row>
    <row r="10" spans="1:17" ht="18" customHeight="1" x14ac:dyDescent="0.25">
      <c r="A10" s="9"/>
      <c r="B10" s="23"/>
      <c r="C10" s="24"/>
      <c r="D10" s="24"/>
      <c r="E10" s="24"/>
      <c r="F10" s="24"/>
      <c r="G10" s="24"/>
      <c r="H10" s="24"/>
      <c r="I10" s="24"/>
      <c r="J10" s="25"/>
      <c r="K10" s="39" t="s">
        <v>35</v>
      </c>
      <c r="L10" s="17">
        <v>20</v>
      </c>
      <c r="M10" s="45" t="s">
        <v>41</v>
      </c>
      <c r="N10" s="46"/>
    </row>
    <row r="11" spans="1:17" ht="18" customHeight="1" x14ac:dyDescent="0.25">
      <c r="A11" s="9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7" ht="18" customHeight="1" x14ac:dyDescent="0.25">
      <c r="A12" s="9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7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7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7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7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40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4">
    <mergeCell ref="B3:B4"/>
    <mergeCell ref="P2:P3"/>
    <mergeCell ref="B11:J12"/>
    <mergeCell ref="M31:N31"/>
    <mergeCell ref="M32:N32"/>
    <mergeCell ref="M33:N33"/>
    <mergeCell ref="M26:N26"/>
    <mergeCell ref="M27:N27"/>
    <mergeCell ref="M28:N28"/>
    <mergeCell ref="M29:N29"/>
    <mergeCell ref="M30:N30"/>
    <mergeCell ref="M21:N21"/>
    <mergeCell ref="M22:N22"/>
    <mergeCell ref="M23:N23"/>
    <mergeCell ref="M24:N24"/>
    <mergeCell ref="M25:N25"/>
    <mergeCell ref="G30:H30"/>
    <mergeCell ref="G31:H31"/>
    <mergeCell ref="G32:H32"/>
    <mergeCell ref="G33:H33"/>
    <mergeCell ref="I30:J30"/>
    <mergeCell ref="I31:J31"/>
    <mergeCell ref="I32:J32"/>
    <mergeCell ref="I33:J33"/>
    <mergeCell ref="I25:J25"/>
    <mergeCell ref="I26:J26"/>
    <mergeCell ref="I27:J27"/>
    <mergeCell ref="I28:J28"/>
    <mergeCell ref="I29:J29"/>
    <mergeCell ref="G25:H25"/>
    <mergeCell ref="G26:H26"/>
    <mergeCell ref="G27:H27"/>
    <mergeCell ref="G28:H28"/>
    <mergeCell ref="G29:H29"/>
    <mergeCell ref="I22:J22"/>
    <mergeCell ref="I23:J23"/>
    <mergeCell ref="G22:H22"/>
    <mergeCell ref="G23:H23"/>
    <mergeCell ref="G24:H24"/>
    <mergeCell ref="I24:J24"/>
    <mergeCell ref="G20:H20"/>
    <mergeCell ref="G21:H21"/>
    <mergeCell ref="I19:J19"/>
    <mergeCell ref="I20:J20"/>
    <mergeCell ref="I21:J21"/>
    <mergeCell ref="G17:H17"/>
    <mergeCell ref="I17:J17"/>
    <mergeCell ref="G18:H18"/>
    <mergeCell ref="I18:J18"/>
    <mergeCell ref="G19:H19"/>
    <mergeCell ref="G14:H14"/>
    <mergeCell ref="I14:J14"/>
    <mergeCell ref="G15:H15"/>
    <mergeCell ref="I15:J15"/>
    <mergeCell ref="G16:H16"/>
    <mergeCell ref="I16:J16"/>
    <mergeCell ref="E18:F18"/>
    <mergeCell ref="E17:F17"/>
    <mergeCell ref="E16:F16"/>
    <mergeCell ref="E15:F15"/>
    <mergeCell ref="E14:F14"/>
    <mergeCell ref="E23:F23"/>
    <mergeCell ref="E22:F22"/>
    <mergeCell ref="E21:F21"/>
    <mergeCell ref="E20:F20"/>
    <mergeCell ref="E19:F19"/>
    <mergeCell ref="E28:F28"/>
    <mergeCell ref="E27:F27"/>
    <mergeCell ref="E26:F26"/>
    <mergeCell ref="E25:F25"/>
    <mergeCell ref="E24:F24"/>
    <mergeCell ref="E33:F33"/>
    <mergeCell ref="E32:F32"/>
    <mergeCell ref="E31:F31"/>
    <mergeCell ref="E30:F30"/>
    <mergeCell ref="E29:F29"/>
    <mergeCell ref="C16:D16"/>
    <mergeCell ref="C17:D17"/>
    <mergeCell ref="C18:D18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K28:K30"/>
    <mergeCell ref="I13:J13"/>
    <mergeCell ref="G13:H13"/>
    <mergeCell ref="E13:F13"/>
    <mergeCell ref="C13:D13"/>
    <mergeCell ref="K2:M3"/>
    <mergeCell ref="K10:K12"/>
    <mergeCell ref="K4:K6"/>
    <mergeCell ref="M4:N4"/>
    <mergeCell ref="M5:N5"/>
    <mergeCell ref="M6:N6"/>
    <mergeCell ref="M7:N7"/>
    <mergeCell ref="M8:N8"/>
    <mergeCell ref="M9:N9"/>
    <mergeCell ref="M10:N10"/>
    <mergeCell ref="M11:N11"/>
    <mergeCell ref="N2:N3"/>
    <mergeCell ref="C19:D19"/>
    <mergeCell ref="C20:D20"/>
    <mergeCell ref="C21:D21"/>
    <mergeCell ref="C22:D22"/>
    <mergeCell ref="C23:D23"/>
    <mergeCell ref="C14:D14"/>
    <mergeCell ref="C15:D15"/>
    <mergeCell ref="K16:K18"/>
    <mergeCell ref="K22:K25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</mergeCells>
  <phoneticPr fontId="1" type="noConversion"/>
  <conditionalFormatting sqref="C4:H4">
    <cfRule type="expression" dxfId="7" priority="4" stopIfTrue="1">
      <formula>DAY(C4)&gt;8</formula>
    </cfRule>
  </conditionalFormatting>
  <conditionalFormatting sqref="C8:I10">
    <cfRule type="expression" dxfId="6" priority="3" stopIfTrue="1">
      <formula>AND(DAY(C8)&gt;=1,DAY(C8)&lt;=15)</formula>
    </cfRule>
  </conditionalFormatting>
  <conditionalFormatting sqref="C4:I9">
    <cfRule type="expression" dxfId="4" priority="15">
      <formula>VLOOKUP(DAY(C4),AssignmentDays,1,FALSE)=DAY(C4)</formula>
    </cfRule>
  </conditionalFormatting>
  <conditionalFormatting sqref="B14:J33">
    <cfRule type="expression" dxfId="5" priority="1">
      <formula>B14&lt;&gt;""</formula>
    </cfRule>
  </conditionalFormatting>
  <dataValidations disablePrompts="1" count="1">
    <dataValidation allowBlank="1" showInputMessage="1" showErrorMessage="1" errorTitle="無效的年份" error="請輸入 1900 至 9999 的年份，或使用捲軸尋找年份。" sqref="N2"/>
  </dataValidations>
  <printOptions horizontalCentered="1" verticalCentered="1"/>
  <pageMargins left="0.5" right="0.5" top="0.5" bottom="0.5" header="0.3" footer="0.3"/>
  <pageSetup scale="91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24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IF(DAY(FebSun1)=1,FebSun1-6,FebSun1+1)</f>
        <v>42036</v>
      </c>
      <c r="D4" s="16">
        <f>IF(DAY(FebSun1)=1,FebSun1-5,FebSun1+2)</f>
        <v>42037</v>
      </c>
      <c r="E4" s="16">
        <f>IF(DAY(FebSun1)=1,FebSun1-4,FebSun1+3)</f>
        <v>42038</v>
      </c>
      <c r="F4" s="16">
        <f>IF(DAY(FebSun1)=1,FebSun1-3,FebSun1+4)</f>
        <v>42039</v>
      </c>
      <c r="G4" s="16">
        <f>IF(DAY(FebSun1)=1,FebSun1-2,FebSun1+5)</f>
        <v>42040</v>
      </c>
      <c r="H4" s="16">
        <f>IF(DAY(FebSun1)=1,FebSun1-1,FebSun1+6)</f>
        <v>42041</v>
      </c>
      <c r="I4" s="16">
        <f>IF(DAY(FebSun1)=1,FebSun1,FebSun1+7)</f>
        <v>42042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IF(DAY(FebSun1)=1,FebSun1+1,FebSun1+8)</f>
        <v>42043</v>
      </c>
      <c r="D5" s="16">
        <f>IF(DAY(FebSun1)=1,FebSun1+2,FebSun1+9)</f>
        <v>42044</v>
      </c>
      <c r="E5" s="16">
        <f>IF(DAY(FebSun1)=1,FebSun1+3,FebSun1+10)</f>
        <v>42045</v>
      </c>
      <c r="F5" s="16">
        <f>IF(DAY(FebSun1)=1,FebSun1+4,FebSun1+11)</f>
        <v>42046</v>
      </c>
      <c r="G5" s="16">
        <f>IF(DAY(FebSun1)=1,FebSun1+5,FebSun1+12)</f>
        <v>42047</v>
      </c>
      <c r="H5" s="16">
        <f>IF(DAY(FebSun1)=1,FebSun1+6,FebSun1+13)</f>
        <v>42048</v>
      </c>
      <c r="I5" s="16">
        <f>IF(DAY(FebSun1)=1,FebSun1+7,FebSun1+14)</f>
        <v>42049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IF(DAY(FebSun1)=1,FebSun1+8,FebSun1+15)</f>
        <v>42050</v>
      </c>
      <c r="D6" s="16">
        <f>IF(DAY(FebSun1)=1,FebSun1+9,FebSun1+16)</f>
        <v>42051</v>
      </c>
      <c r="E6" s="16">
        <f>IF(DAY(FebSun1)=1,FebSun1+10,FebSun1+17)</f>
        <v>42052</v>
      </c>
      <c r="F6" s="16">
        <f>IF(DAY(FebSun1)=1,FebSun1+11,FebSun1+18)</f>
        <v>42053</v>
      </c>
      <c r="G6" s="16">
        <f>IF(DAY(FebSun1)=1,FebSun1+12,FebSun1+19)</f>
        <v>42054</v>
      </c>
      <c r="H6" s="16">
        <f>IF(DAY(FebSun1)=1,FebSun1+13,FebSun1+20)</f>
        <v>42055</v>
      </c>
      <c r="I6" s="16">
        <f>IF(DAY(FebSun1)=1,FebSun1+14,FebSun1+21)</f>
        <v>42056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IF(DAY(FebSun1)=1,FebSun1+15,FebSun1+22)</f>
        <v>42057</v>
      </c>
      <c r="D7" s="16">
        <f>IF(DAY(FebSun1)=1,FebSun1+16,FebSun1+23)</f>
        <v>42058</v>
      </c>
      <c r="E7" s="16">
        <f>IF(DAY(FebSun1)=1,FebSun1+17,FebSun1+24)</f>
        <v>42059</v>
      </c>
      <c r="F7" s="16">
        <f>IF(DAY(FebSun1)=1,FebSun1+18,FebSun1+25)</f>
        <v>42060</v>
      </c>
      <c r="G7" s="16">
        <f>IF(DAY(FebSun1)=1,FebSun1+19,FebSun1+26)</f>
        <v>42061</v>
      </c>
      <c r="H7" s="16">
        <f>IF(DAY(FebSun1)=1,FebSun1+20,FebSun1+27)</f>
        <v>42062</v>
      </c>
      <c r="I7" s="16">
        <f>IF(DAY(FebSun1)=1,FebSun1+21,FebSun1+28)</f>
        <v>42063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IF(DAY(FebSun1)=1,FebSun1+22,FebSun1+29)</f>
        <v>42064</v>
      </c>
      <c r="D8" s="16">
        <f>IF(DAY(FebSun1)=1,FebSun1+23,FebSun1+30)</f>
        <v>42065</v>
      </c>
      <c r="E8" s="16">
        <f>IF(DAY(FebSun1)=1,FebSun1+24,FebSun1+31)</f>
        <v>42066</v>
      </c>
      <c r="F8" s="16">
        <f>IF(DAY(FebSun1)=1,FebSun1+25,FebSun1+32)</f>
        <v>42067</v>
      </c>
      <c r="G8" s="16">
        <f>IF(DAY(FebSun1)=1,FebSun1+26,FebSun1+33)</f>
        <v>42068</v>
      </c>
      <c r="H8" s="16">
        <f>IF(DAY(FebSun1)=1,FebSun1+27,FebSun1+34)</f>
        <v>42069</v>
      </c>
      <c r="I8" s="16">
        <f>IF(DAY(FebSun1)=1,FebSun1+28,FebSun1+35)</f>
        <v>42070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IF(DAY(FebSun1)=1,FebSun1+29,FebSun1+36)</f>
        <v>42071</v>
      </c>
      <c r="D9" s="16">
        <f>IF(DAY(FebSun1)=1,FebSun1+30,FebSun1+37)</f>
        <v>42072</v>
      </c>
      <c r="E9" s="16">
        <f>IF(DAY(FebSun1)=1,FebSun1+31,FebSun1+38)</f>
        <v>42073</v>
      </c>
      <c r="F9" s="16">
        <f>IF(DAY(FebSun1)=1,FebSun1+32,FebSun1+39)</f>
        <v>42074</v>
      </c>
      <c r="G9" s="16">
        <f>IF(DAY(FebSun1)=1,FebSun1+33,FebSun1+40)</f>
        <v>42075</v>
      </c>
      <c r="H9" s="16">
        <f>IF(DAY(FebSun1)=1,FebSun1+34,FebSun1+41)</f>
        <v>42076</v>
      </c>
      <c r="I9" s="16">
        <f>IF(DAY(FebSun1)=1,FebSun1+35,FebSun1+42)</f>
        <v>42077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59" priority="3" stopIfTrue="1">
      <formula>DAY(C4)&gt;8</formula>
    </cfRule>
  </conditionalFormatting>
  <conditionalFormatting sqref="C8:I10">
    <cfRule type="expression" dxfId="58" priority="2" stopIfTrue="1">
      <formula>AND(DAY(C8)&gt;=1,DAY(C8)&lt;=15)</formula>
    </cfRule>
  </conditionalFormatting>
  <conditionalFormatting sqref="C4:I9">
    <cfRule type="expression" dxfId="57" priority="4">
      <formula>VLOOKUP(DAY(C4),AssignmentDays,1,FALSE)=DAY(C4)</formula>
    </cfRule>
  </conditionalFormatting>
  <conditionalFormatting sqref="B14:J33">
    <cfRule type="expression" dxfId="56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25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IF(DAY(MarSun1)=1,MarSun1-6,MarSun1+1)</f>
        <v>42064</v>
      </c>
      <c r="D4" s="16">
        <f>IF(DAY(MarSun1)=1,MarSun1-5,MarSun1+2)</f>
        <v>42065</v>
      </c>
      <c r="E4" s="16">
        <f>IF(DAY(MarSun1)=1,MarSun1-4,MarSun1+3)</f>
        <v>42066</v>
      </c>
      <c r="F4" s="16">
        <f>IF(DAY(MarSun1)=1,MarSun1-3,MarSun1+4)</f>
        <v>42067</v>
      </c>
      <c r="G4" s="16">
        <f>IF(DAY(MarSun1)=1,MarSun1-2,MarSun1+5)</f>
        <v>42068</v>
      </c>
      <c r="H4" s="16">
        <f>IF(DAY(MarSun1)=1,MarSun1-1,MarSun1+6)</f>
        <v>42069</v>
      </c>
      <c r="I4" s="16">
        <f>IF(DAY(MarSun1)=1,MarSun1,MarSun1+7)</f>
        <v>42070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IF(DAY(MarSun1)=1,MarSun1+1,MarSun1+8)</f>
        <v>42071</v>
      </c>
      <c r="D5" s="16">
        <f>IF(DAY(MarSun1)=1,MarSun1+2,MarSun1+9)</f>
        <v>42072</v>
      </c>
      <c r="E5" s="16">
        <f>IF(DAY(MarSun1)=1,MarSun1+3,MarSun1+10)</f>
        <v>42073</v>
      </c>
      <c r="F5" s="16">
        <f>IF(DAY(MarSun1)=1,MarSun1+4,MarSun1+11)</f>
        <v>42074</v>
      </c>
      <c r="G5" s="16">
        <f>IF(DAY(MarSun1)=1,MarSun1+5,MarSun1+12)</f>
        <v>42075</v>
      </c>
      <c r="H5" s="16">
        <f>IF(DAY(MarSun1)=1,MarSun1+6,MarSun1+13)</f>
        <v>42076</v>
      </c>
      <c r="I5" s="16">
        <f>IF(DAY(MarSun1)=1,MarSun1+7,MarSun1+14)</f>
        <v>42077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IF(DAY(MarSun1)=1,MarSun1+8,MarSun1+15)</f>
        <v>42078</v>
      </c>
      <c r="D6" s="16">
        <f>IF(DAY(MarSun1)=1,MarSun1+9,MarSun1+16)</f>
        <v>42079</v>
      </c>
      <c r="E6" s="16">
        <f>IF(DAY(MarSun1)=1,MarSun1+10,MarSun1+17)</f>
        <v>42080</v>
      </c>
      <c r="F6" s="16">
        <f>IF(DAY(MarSun1)=1,MarSun1+11,MarSun1+18)</f>
        <v>42081</v>
      </c>
      <c r="G6" s="16">
        <f>IF(DAY(MarSun1)=1,MarSun1+12,MarSun1+19)</f>
        <v>42082</v>
      </c>
      <c r="H6" s="16">
        <f>IF(DAY(MarSun1)=1,MarSun1+13,MarSun1+20)</f>
        <v>42083</v>
      </c>
      <c r="I6" s="16">
        <f>IF(DAY(MarSun1)=1,MarSun1+14,MarSun1+21)</f>
        <v>42084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IF(DAY(MarSun1)=1,MarSun1+15,MarSun1+22)</f>
        <v>42085</v>
      </c>
      <c r="D7" s="16">
        <f>IF(DAY(MarSun1)=1,MarSun1+16,MarSun1+23)</f>
        <v>42086</v>
      </c>
      <c r="E7" s="16">
        <f>IF(DAY(MarSun1)=1,MarSun1+17,MarSun1+24)</f>
        <v>42087</v>
      </c>
      <c r="F7" s="16">
        <f>IF(DAY(MarSun1)=1,MarSun1+18,MarSun1+25)</f>
        <v>42088</v>
      </c>
      <c r="G7" s="16">
        <f>IF(DAY(MarSun1)=1,MarSun1+19,MarSun1+26)</f>
        <v>42089</v>
      </c>
      <c r="H7" s="16">
        <f>IF(DAY(MarSun1)=1,MarSun1+20,MarSun1+27)</f>
        <v>42090</v>
      </c>
      <c r="I7" s="16">
        <f>IF(DAY(MarSun1)=1,MarSun1+21,MarSun1+28)</f>
        <v>42091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IF(DAY(MarSun1)=1,MarSun1+22,MarSun1+29)</f>
        <v>42092</v>
      </c>
      <c r="D8" s="16">
        <f>IF(DAY(MarSun1)=1,MarSun1+23,MarSun1+30)</f>
        <v>42093</v>
      </c>
      <c r="E8" s="16">
        <f>IF(DAY(MarSun1)=1,MarSun1+24,MarSun1+31)</f>
        <v>42094</v>
      </c>
      <c r="F8" s="16">
        <f>IF(DAY(MarSun1)=1,MarSun1+25,MarSun1+32)</f>
        <v>42095</v>
      </c>
      <c r="G8" s="16">
        <f>IF(DAY(MarSun1)=1,MarSun1+26,MarSun1+33)</f>
        <v>42096</v>
      </c>
      <c r="H8" s="16">
        <f>IF(DAY(MarSun1)=1,MarSun1+27,MarSun1+34)</f>
        <v>42097</v>
      </c>
      <c r="I8" s="16">
        <f>IF(DAY(MarSun1)=1,MarSun1+28,MarSun1+35)</f>
        <v>42098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IF(DAY(MarSun1)=1,MarSun1+29,MarSun1+36)</f>
        <v>42099</v>
      </c>
      <c r="D9" s="16">
        <f>IF(DAY(MarSun1)=1,MarSun1+30,MarSun1+37)</f>
        <v>42100</v>
      </c>
      <c r="E9" s="16">
        <f>IF(DAY(MarSun1)=1,MarSun1+31,MarSun1+38)</f>
        <v>42101</v>
      </c>
      <c r="F9" s="16">
        <f>IF(DAY(MarSun1)=1,MarSun1+32,MarSun1+39)</f>
        <v>42102</v>
      </c>
      <c r="G9" s="16">
        <f>IF(DAY(MarSun1)=1,MarSun1+33,MarSun1+40)</f>
        <v>42103</v>
      </c>
      <c r="H9" s="16">
        <f>IF(DAY(MarSun1)=1,MarSun1+34,MarSun1+41)</f>
        <v>42104</v>
      </c>
      <c r="I9" s="16">
        <f>IF(DAY(MarSun1)=1,MarSun1+35,MarSun1+42)</f>
        <v>42105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55" priority="3" stopIfTrue="1">
      <formula>DAY(C4)&gt;8</formula>
    </cfRule>
  </conditionalFormatting>
  <conditionalFormatting sqref="C8:I10">
    <cfRule type="expression" dxfId="54" priority="2" stopIfTrue="1">
      <formula>AND(DAY(C8)&gt;=1,DAY(C8)&lt;=15)</formula>
    </cfRule>
  </conditionalFormatting>
  <conditionalFormatting sqref="C4:I9">
    <cfRule type="expression" dxfId="53" priority="4">
      <formula>VLOOKUP(DAY(C4),AssignmentDays,1,FALSE)=DAY(C4)</formula>
    </cfRule>
  </conditionalFormatting>
  <conditionalFormatting sqref="B14:J33">
    <cfRule type="expression" dxfId="52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26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IF(DAY(AprSun1)=1,AprSun1-6,AprSun1+1)</f>
        <v>42092</v>
      </c>
      <c r="D4" s="16">
        <f>IF(DAY(AprSun1)=1,AprSun1-5,AprSun1+2)</f>
        <v>42093</v>
      </c>
      <c r="E4" s="16">
        <f>IF(DAY(AprSun1)=1,AprSun1-4,AprSun1+3)</f>
        <v>42094</v>
      </c>
      <c r="F4" s="16">
        <f>IF(DAY(AprSun1)=1,AprSun1-3,AprSun1+4)</f>
        <v>42095</v>
      </c>
      <c r="G4" s="16">
        <f>IF(DAY(AprSun1)=1,AprSun1-2,AprSun1+5)</f>
        <v>42096</v>
      </c>
      <c r="H4" s="16">
        <f>IF(DAY(AprSun1)=1,AprSun1-1,AprSun1+6)</f>
        <v>42097</v>
      </c>
      <c r="I4" s="16">
        <f>IF(DAY(AprSun1)=1,AprSun1,AprSun1+7)</f>
        <v>42098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IF(DAY(AprSun1)=1,AprSun1+1,AprSun1+8)</f>
        <v>42099</v>
      </c>
      <c r="D5" s="16">
        <f>IF(DAY(AprSun1)=1,AprSun1+2,AprSun1+9)</f>
        <v>42100</v>
      </c>
      <c r="E5" s="16">
        <f>IF(DAY(AprSun1)=1,AprSun1+3,AprSun1+10)</f>
        <v>42101</v>
      </c>
      <c r="F5" s="16">
        <f>IF(DAY(AprSun1)=1,AprSun1+4,AprSun1+11)</f>
        <v>42102</v>
      </c>
      <c r="G5" s="16">
        <f>IF(DAY(AprSun1)=1,AprSun1+5,AprSun1+12)</f>
        <v>42103</v>
      </c>
      <c r="H5" s="16">
        <f>IF(DAY(AprSun1)=1,AprSun1+6,AprSun1+13)</f>
        <v>42104</v>
      </c>
      <c r="I5" s="16">
        <f>IF(DAY(AprSun1)=1,AprSun1+7,AprSun1+14)</f>
        <v>42105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IF(DAY(AprSun1)=1,AprSun1+8,AprSun1+15)</f>
        <v>42106</v>
      </c>
      <c r="D6" s="16">
        <f>IF(DAY(AprSun1)=1,AprSun1+9,AprSun1+16)</f>
        <v>42107</v>
      </c>
      <c r="E6" s="16">
        <f>IF(DAY(AprSun1)=1,AprSun1+10,AprSun1+17)</f>
        <v>42108</v>
      </c>
      <c r="F6" s="16">
        <f>IF(DAY(AprSun1)=1,AprSun1+11,AprSun1+18)</f>
        <v>42109</v>
      </c>
      <c r="G6" s="16">
        <f>IF(DAY(AprSun1)=1,AprSun1+12,AprSun1+19)</f>
        <v>42110</v>
      </c>
      <c r="H6" s="16">
        <f>IF(DAY(AprSun1)=1,AprSun1+13,AprSun1+20)</f>
        <v>42111</v>
      </c>
      <c r="I6" s="16">
        <f>IF(DAY(AprSun1)=1,AprSun1+14,AprSun1+21)</f>
        <v>42112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IF(DAY(AprSun1)=1,AprSun1+15,AprSun1+22)</f>
        <v>42113</v>
      </c>
      <c r="D7" s="16">
        <f>IF(DAY(AprSun1)=1,AprSun1+16,AprSun1+23)</f>
        <v>42114</v>
      </c>
      <c r="E7" s="16">
        <f>IF(DAY(AprSun1)=1,AprSun1+17,AprSun1+24)</f>
        <v>42115</v>
      </c>
      <c r="F7" s="16">
        <f>IF(DAY(AprSun1)=1,AprSun1+18,AprSun1+25)</f>
        <v>42116</v>
      </c>
      <c r="G7" s="16">
        <f>IF(DAY(AprSun1)=1,AprSun1+19,AprSun1+26)</f>
        <v>42117</v>
      </c>
      <c r="H7" s="16">
        <f>IF(DAY(AprSun1)=1,AprSun1+20,AprSun1+27)</f>
        <v>42118</v>
      </c>
      <c r="I7" s="16">
        <f>IF(DAY(AprSun1)=1,AprSun1+21,AprSun1+28)</f>
        <v>42119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IF(DAY(AprSun1)=1,AprSun1+22,AprSun1+29)</f>
        <v>42120</v>
      </c>
      <c r="D8" s="16">
        <f>IF(DAY(AprSun1)=1,AprSun1+23,AprSun1+30)</f>
        <v>42121</v>
      </c>
      <c r="E8" s="16">
        <f>IF(DAY(AprSun1)=1,AprSun1+24,AprSun1+31)</f>
        <v>42122</v>
      </c>
      <c r="F8" s="16">
        <f>IF(DAY(AprSun1)=1,AprSun1+25,AprSun1+32)</f>
        <v>42123</v>
      </c>
      <c r="G8" s="16">
        <f>IF(DAY(AprSun1)=1,AprSun1+26,AprSun1+33)</f>
        <v>42124</v>
      </c>
      <c r="H8" s="16">
        <f>IF(DAY(AprSun1)=1,AprSun1+27,AprSun1+34)</f>
        <v>42125</v>
      </c>
      <c r="I8" s="16">
        <f>IF(DAY(AprSun1)=1,AprSun1+28,AprSun1+35)</f>
        <v>42126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IF(DAY(AprSun1)=1,AprSun1+29,AprSun1+36)</f>
        <v>42127</v>
      </c>
      <c r="D9" s="16">
        <f>IF(DAY(AprSun1)=1,AprSun1+30,AprSun1+37)</f>
        <v>42128</v>
      </c>
      <c r="E9" s="16">
        <f>IF(DAY(AprSun1)=1,AprSun1+31,AprSun1+38)</f>
        <v>42129</v>
      </c>
      <c r="F9" s="16">
        <f>IF(DAY(AprSun1)=1,AprSun1+32,AprSun1+39)</f>
        <v>42130</v>
      </c>
      <c r="G9" s="16">
        <f>IF(DAY(AprSun1)=1,AprSun1+33,AprSun1+40)</f>
        <v>42131</v>
      </c>
      <c r="H9" s="16">
        <f>IF(DAY(AprSun1)=1,AprSun1+34,AprSun1+41)</f>
        <v>42132</v>
      </c>
      <c r="I9" s="16">
        <f>IF(DAY(AprSun1)=1,AprSun1+35,AprSun1+42)</f>
        <v>42133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51" priority="3" stopIfTrue="1">
      <formula>DAY(C4)&gt;8</formula>
    </cfRule>
  </conditionalFormatting>
  <conditionalFormatting sqref="C8:I10">
    <cfRule type="expression" dxfId="50" priority="2" stopIfTrue="1">
      <formula>AND(DAY(C8)&gt;=1,DAY(C8)&lt;=15)</formula>
    </cfRule>
  </conditionalFormatting>
  <conditionalFormatting sqref="C4:I9">
    <cfRule type="expression" dxfId="49" priority="4">
      <formula>VLOOKUP(DAY(C4),AssignmentDays,1,FALSE)=DAY(C4)</formula>
    </cfRule>
  </conditionalFormatting>
  <conditionalFormatting sqref="B14:J33">
    <cfRule type="expression" dxfId="48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27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IF(DAY(MaySun1)=1,MaySun1-6,MaySun1+1)</f>
        <v>42120</v>
      </c>
      <c r="D4" s="16">
        <f>IF(DAY(MaySun1)=1,MaySun1-5,MaySun1+2)</f>
        <v>42121</v>
      </c>
      <c r="E4" s="16">
        <f>IF(DAY(MaySun1)=1,MaySun1-4,MaySun1+3)</f>
        <v>42122</v>
      </c>
      <c r="F4" s="16">
        <f>IF(DAY(MaySun1)=1,MaySun1-3,MaySun1+4)</f>
        <v>42123</v>
      </c>
      <c r="G4" s="16">
        <f>IF(DAY(MaySun1)=1,MaySun1-2,MaySun1+5)</f>
        <v>42124</v>
      </c>
      <c r="H4" s="16">
        <f>IF(DAY(MaySun1)=1,MaySun1-1,MaySun1+6)</f>
        <v>42125</v>
      </c>
      <c r="I4" s="16">
        <f>IF(DAY(MaySun1)=1,MaySun1,MaySun1+7)</f>
        <v>42126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IF(DAY(MaySun1)=1,MaySun1+1,MaySun1+8)</f>
        <v>42127</v>
      </c>
      <c r="D5" s="16">
        <f>IF(DAY(MaySun1)=1,MaySun1+2,MaySun1+9)</f>
        <v>42128</v>
      </c>
      <c r="E5" s="16">
        <f>IF(DAY(MaySun1)=1,MaySun1+3,MaySun1+10)</f>
        <v>42129</v>
      </c>
      <c r="F5" s="16">
        <f>IF(DAY(MaySun1)=1,MaySun1+4,MaySun1+11)</f>
        <v>42130</v>
      </c>
      <c r="G5" s="16">
        <f>IF(DAY(MaySun1)=1,MaySun1+5,MaySun1+12)</f>
        <v>42131</v>
      </c>
      <c r="H5" s="16">
        <f>IF(DAY(MaySun1)=1,MaySun1+6,MaySun1+13)</f>
        <v>42132</v>
      </c>
      <c r="I5" s="16">
        <f>IF(DAY(MaySun1)=1,MaySun1+7,MaySun1+14)</f>
        <v>42133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IF(DAY(MaySun1)=1,MaySun1+8,MaySun1+15)</f>
        <v>42134</v>
      </c>
      <c r="D6" s="16">
        <f>IF(DAY(MaySun1)=1,MaySun1+9,MaySun1+16)</f>
        <v>42135</v>
      </c>
      <c r="E6" s="16">
        <f>IF(DAY(MaySun1)=1,MaySun1+10,MaySun1+17)</f>
        <v>42136</v>
      </c>
      <c r="F6" s="16">
        <f>IF(DAY(MaySun1)=1,MaySun1+11,MaySun1+18)</f>
        <v>42137</v>
      </c>
      <c r="G6" s="16">
        <f>IF(DAY(MaySun1)=1,MaySun1+12,MaySun1+19)</f>
        <v>42138</v>
      </c>
      <c r="H6" s="16">
        <f>IF(DAY(MaySun1)=1,MaySun1+13,MaySun1+20)</f>
        <v>42139</v>
      </c>
      <c r="I6" s="16">
        <f>IF(DAY(MaySun1)=1,MaySun1+14,MaySun1+21)</f>
        <v>42140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IF(DAY(MaySun1)=1,MaySun1+15,MaySun1+22)</f>
        <v>42141</v>
      </c>
      <c r="D7" s="16">
        <f>IF(DAY(MaySun1)=1,MaySun1+16,MaySun1+23)</f>
        <v>42142</v>
      </c>
      <c r="E7" s="16">
        <f>IF(DAY(MaySun1)=1,MaySun1+17,MaySun1+24)</f>
        <v>42143</v>
      </c>
      <c r="F7" s="16">
        <f>IF(DAY(MaySun1)=1,MaySun1+18,MaySun1+25)</f>
        <v>42144</v>
      </c>
      <c r="G7" s="16">
        <f>IF(DAY(MaySun1)=1,MaySun1+19,MaySun1+26)</f>
        <v>42145</v>
      </c>
      <c r="H7" s="16">
        <f>IF(DAY(MaySun1)=1,MaySun1+20,MaySun1+27)</f>
        <v>42146</v>
      </c>
      <c r="I7" s="16">
        <f>IF(DAY(MaySun1)=1,MaySun1+21,MaySun1+28)</f>
        <v>42147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IF(DAY(MaySun1)=1,MaySun1+22,MaySun1+29)</f>
        <v>42148</v>
      </c>
      <c r="D8" s="16">
        <f>IF(DAY(MaySun1)=1,MaySun1+23,MaySun1+30)</f>
        <v>42149</v>
      </c>
      <c r="E8" s="16">
        <f>IF(DAY(MaySun1)=1,MaySun1+24,MaySun1+31)</f>
        <v>42150</v>
      </c>
      <c r="F8" s="16">
        <f>IF(DAY(MaySun1)=1,MaySun1+25,MaySun1+32)</f>
        <v>42151</v>
      </c>
      <c r="G8" s="16">
        <f>IF(DAY(MaySun1)=1,MaySun1+26,MaySun1+33)</f>
        <v>42152</v>
      </c>
      <c r="H8" s="16">
        <f>IF(DAY(MaySun1)=1,MaySun1+27,MaySun1+34)</f>
        <v>42153</v>
      </c>
      <c r="I8" s="16">
        <f>IF(DAY(MaySun1)=1,MaySun1+28,MaySun1+35)</f>
        <v>42154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IF(DAY(MaySun1)=1,MaySun1+29,MaySun1+36)</f>
        <v>42155</v>
      </c>
      <c r="D9" s="16">
        <f>IF(DAY(MaySun1)=1,MaySun1+30,MaySun1+37)</f>
        <v>42156</v>
      </c>
      <c r="E9" s="16">
        <f>IF(DAY(MaySun1)=1,MaySun1+31,MaySun1+38)</f>
        <v>42157</v>
      </c>
      <c r="F9" s="16">
        <f>IF(DAY(MaySun1)=1,MaySun1+32,MaySun1+39)</f>
        <v>42158</v>
      </c>
      <c r="G9" s="16">
        <f>IF(DAY(MaySun1)=1,MaySun1+33,MaySun1+40)</f>
        <v>42159</v>
      </c>
      <c r="H9" s="16">
        <f>IF(DAY(MaySun1)=1,MaySun1+34,MaySun1+41)</f>
        <v>42160</v>
      </c>
      <c r="I9" s="16">
        <f>IF(DAY(MaySun1)=1,MaySun1+35,MaySun1+42)</f>
        <v>42161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47" priority="3" stopIfTrue="1">
      <formula>DAY(C4)&gt;8</formula>
    </cfRule>
  </conditionalFormatting>
  <conditionalFormatting sqref="C8:I10">
    <cfRule type="expression" dxfId="46" priority="2" stopIfTrue="1">
      <formula>AND(DAY(C8)&gt;=1,DAY(C8)&lt;=15)</formula>
    </cfRule>
  </conditionalFormatting>
  <conditionalFormatting sqref="C4:I9">
    <cfRule type="expression" dxfId="45" priority="4">
      <formula>VLOOKUP(DAY(C4),AssignmentDays,1,FALSE)=DAY(C4)</formula>
    </cfRule>
  </conditionalFormatting>
  <conditionalFormatting sqref="B14:J33">
    <cfRule type="expression" dxfId="44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28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IF(DAY(JunSun1)=1,JunSun1-6,JunSun1+1)</f>
        <v>42155</v>
      </c>
      <c r="D4" s="16">
        <f>IF(DAY(JunSun1)=1,JunSun1-5,JunSun1+2)</f>
        <v>42156</v>
      </c>
      <c r="E4" s="16">
        <f>IF(DAY(JunSun1)=1,JunSun1-4,JunSun1+3)</f>
        <v>42157</v>
      </c>
      <c r="F4" s="16">
        <f>IF(DAY(JunSun1)=1,JunSun1-3,JunSun1+4)</f>
        <v>42158</v>
      </c>
      <c r="G4" s="16">
        <f>IF(DAY(JunSun1)=1,JunSun1-2,JunSun1+5)</f>
        <v>42159</v>
      </c>
      <c r="H4" s="16">
        <f>IF(DAY(JunSun1)=1,JunSun1-1,JunSun1+6)</f>
        <v>42160</v>
      </c>
      <c r="I4" s="16">
        <f>IF(DAY(JunSun1)=1,JunSun1,JunSun1+7)</f>
        <v>42161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IF(DAY(JunSun1)=1,JunSun1+1,JunSun1+8)</f>
        <v>42162</v>
      </c>
      <c r="D5" s="16">
        <f>IF(DAY(JunSun1)=1,JunSun1+2,JunSun1+9)</f>
        <v>42163</v>
      </c>
      <c r="E5" s="16">
        <f>IF(DAY(JunSun1)=1,JunSun1+3,JunSun1+10)</f>
        <v>42164</v>
      </c>
      <c r="F5" s="16">
        <f>IF(DAY(JunSun1)=1,JunSun1+4,JunSun1+11)</f>
        <v>42165</v>
      </c>
      <c r="G5" s="16">
        <f>IF(DAY(JunSun1)=1,JunSun1+5,JunSun1+12)</f>
        <v>42166</v>
      </c>
      <c r="H5" s="16">
        <f>IF(DAY(JunSun1)=1,JunSun1+6,JunSun1+13)</f>
        <v>42167</v>
      </c>
      <c r="I5" s="16">
        <f>IF(DAY(JunSun1)=1,JunSun1+7,JunSun1+14)</f>
        <v>42168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IF(DAY(JunSun1)=1,JunSun1+8,JunSun1+15)</f>
        <v>42169</v>
      </c>
      <c r="D6" s="16">
        <f>IF(DAY(JunSun1)=1,JunSun1+9,JunSun1+16)</f>
        <v>42170</v>
      </c>
      <c r="E6" s="16">
        <f>IF(DAY(JunSun1)=1,JunSun1+10,JunSun1+17)</f>
        <v>42171</v>
      </c>
      <c r="F6" s="16">
        <f>IF(DAY(JunSun1)=1,JunSun1+11,JunSun1+18)</f>
        <v>42172</v>
      </c>
      <c r="G6" s="16">
        <f>IF(DAY(JunSun1)=1,JunSun1+12,JunSun1+19)</f>
        <v>42173</v>
      </c>
      <c r="H6" s="16">
        <f>IF(DAY(JunSun1)=1,JunSun1+13,JunSun1+20)</f>
        <v>42174</v>
      </c>
      <c r="I6" s="16">
        <f>IF(DAY(JunSun1)=1,JunSun1+14,JunSun1+21)</f>
        <v>42175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IF(DAY(JunSun1)=1,JunSun1+15,JunSun1+22)</f>
        <v>42176</v>
      </c>
      <c r="D7" s="16">
        <f>IF(DAY(JunSun1)=1,JunSun1+16,JunSun1+23)</f>
        <v>42177</v>
      </c>
      <c r="E7" s="16">
        <f>IF(DAY(JunSun1)=1,JunSun1+17,JunSun1+24)</f>
        <v>42178</v>
      </c>
      <c r="F7" s="16">
        <f>IF(DAY(JunSun1)=1,JunSun1+18,JunSun1+25)</f>
        <v>42179</v>
      </c>
      <c r="G7" s="16">
        <f>IF(DAY(JunSun1)=1,JunSun1+19,JunSun1+26)</f>
        <v>42180</v>
      </c>
      <c r="H7" s="16">
        <f>IF(DAY(JunSun1)=1,JunSun1+20,JunSun1+27)</f>
        <v>42181</v>
      </c>
      <c r="I7" s="16">
        <f>IF(DAY(JunSun1)=1,JunSun1+21,JunSun1+28)</f>
        <v>42182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IF(DAY(JunSun1)=1,JunSun1+22,JunSun1+29)</f>
        <v>42183</v>
      </c>
      <c r="D8" s="16">
        <f>IF(DAY(JunSun1)=1,JunSun1+23,JunSun1+30)</f>
        <v>42184</v>
      </c>
      <c r="E8" s="16">
        <f>IF(DAY(JunSun1)=1,JunSun1+24,JunSun1+31)</f>
        <v>42185</v>
      </c>
      <c r="F8" s="16">
        <f>IF(DAY(JunSun1)=1,JunSun1+25,JunSun1+32)</f>
        <v>42186</v>
      </c>
      <c r="G8" s="16">
        <f>IF(DAY(JunSun1)=1,JunSun1+26,JunSun1+33)</f>
        <v>42187</v>
      </c>
      <c r="H8" s="16">
        <f>IF(DAY(JunSun1)=1,JunSun1+27,JunSun1+34)</f>
        <v>42188</v>
      </c>
      <c r="I8" s="16">
        <f>IF(DAY(JunSun1)=1,JunSun1+28,JunSun1+35)</f>
        <v>42189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IF(DAY(JunSun1)=1,JunSun1+29,JunSun1+36)</f>
        <v>42190</v>
      </c>
      <c r="D9" s="16">
        <f>IF(DAY(JunSun1)=1,JunSun1+30,JunSun1+37)</f>
        <v>42191</v>
      </c>
      <c r="E9" s="16">
        <f>IF(DAY(JunSun1)=1,JunSun1+31,JunSun1+38)</f>
        <v>42192</v>
      </c>
      <c r="F9" s="16">
        <f>IF(DAY(JunSun1)=1,JunSun1+32,JunSun1+39)</f>
        <v>42193</v>
      </c>
      <c r="G9" s="16">
        <f>IF(DAY(JunSun1)=1,JunSun1+33,JunSun1+40)</f>
        <v>42194</v>
      </c>
      <c r="H9" s="16">
        <f>IF(DAY(JunSun1)=1,JunSun1+34,JunSun1+41)</f>
        <v>42195</v>
      </c>
      <c r="I9" s="16">
        <f>IF(DAY(JunSun1)=1,JunSun1+35,JunSun1+42)</f>
        <v>42196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43" priority="3" stopIfTrue="1">
      <formula>DAY(C4)&gt;8</formula>
    </cfRule>
  </conditionalFormatting>
  <conditionalFormatting sqref="C8:I10">
    <cfRule type="expression" dxfId="42" priority="2" stopIfTrue="1">
      <formula>AND(DAY(C8)&gt;=1,DAY(C8)&lt;=15)</formula>
    </cfRule>
  </conditionalFormatting>
  <conditionalFormatting sqref="C4:I9">
    <cfRule type="expression" dxfId="41" priority="4">
      <formula>VLOOKUP(DAY(C4),AssignmentDays,1,FALSE)=DAY(C4)</formula>
    </cfRule>
  </conditionalFormatting>
  <conditionalFormatting sqref="B14:J33">
    <cfRule type="expression" dxfId="40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29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IF(DAY(JulSun1)=1,JulSun1-6,JulSun1+1)</f>
        <v>42183</v>
      </c>
      <c r="D4" s="16">
        <f>IF(DAY(JulSun1)=1,JulSun1-5,JulSun1+2)</f>
        <v>42184</v>
      </c>
      <c r="E4" s="16">
        <f>IF(DAY(JulSun1)=1,JulSun1-4,JulSun1+3)</f>
        <v>42185</v>
      </c>
      <c r="F4" s="16">
        <f>IF(DAY(JulSun1)=1,JulSun1-3,JulSun1+4)</f>
        <v>42186</v>
      </c>
      <c r="G4" s="16">
        <f>IF(DAY(JulSun1)=1,JulSun1-2,JulSun1+5)</f>
        <v>42187</v>
      </c>
      <c r="H4" s="16">
        <f>IF(DAY(JulSun1)=1,JulSun1-1,JulSun1+6)</f>
        <v>42188</v>
      </c>
      <c r="I4" s="16">
        <f>IF(DAY(JulSun1)=1,JulSun1,JulSun1+7)</f>
        <v>42189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IF(DAY(JulSun1)=1,JulSun1+1,JulSun1+8)</f>
        <v>42190</v>
      </c>
      <c r="D5" s="16">
        <f>IF(DAY(JulSun1)=1,JulSun1+2,JulSun1+9)</f>
        <v>42191</v>
      </c>
      <c r="E5" s="16">
        <f>IF(DAY(JulSun1)=1,JulSun1+3,JulSun1+10)</f>
        <v>42192</v>
      </c>
      <c r="F5" s="16">
        <f>IF(DAY(JulSun1)=1,JulSun1+4,JulSun1+11)</f>
        <v>42193</v>
      </c>
      <c r="G5" s="16">
        <f>IF(DAY(JulSun1)=1,JulSun1+5,JulSun1+12)</f>
        <v>42194</v>
      </c>
      <c r="H5" s="16">
        <f>IF(DAY(JulSun1)=1,JulSun1+6,JulSun1+13)</f>
        <v>42195</v>
      </c>
      <c r="I5" s="16">
        <f>IF(DAY(JulSun1)=1,JulSun1+7,JulSun1+14)</f>
        <v>42196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IF(DAY(JulSun1)=1,JulSun1+8,JulSun1+15)</f>
        <v>42197</v>
      </c>
      <c r="D6" s="16">
        <f>IF(DAY(JulSun1)=1,JulSun1+9,JulSun1+16)</f>
        <v>42198</v>
      </c>
      <c r="E6" s="16">
        <f>IF(DAY(JulSun1)=1,JulSun1+10,JulSun1+17)</f>
        <v>42199</v>
      </c>
      <c r="F6" s="16">
        <f>IF(DAY(JulSun1)=1,JulSun1+11,JulSun1+18)</f>
        <v>42200</v>
      </c>
      <c r="G6" s="16">
        <f>IF(DAY(JulSun1)=1,JulSun1+12,JulSun1+19)</f>
        <v>42201</v>
      </c>
      <c r="H6" s="16">
        <f>IF(DAY(JulSun1)=1,JulSun1+13,JulSun1+20)</f>
        <v>42202</v>
      </c>
      <c r="I6" s="16">
        <f>IF(DAY(JulSun1)=1,JulSun1+14,JulSun1+21)</f>
        <v>42203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IF(DAY(JulSun1)=1,JulSun1+15,JulSun1+22)</f>
        <v>42204</v>
      </c>
      <c r="D7" s="16">
        <f>IF(DAY(JulSun1)=1,JulSun1+16,JulSun1+23)</f>
        <v>42205</v>
      </c>
      <c r="E7" s="16">
        <f>IF(DAY(JulSun1)=1,JulSun1+17,JulSun1+24)</f>
        <v>42206</v>
      </c>
      <c r="F7" s="16">
        <f>IF(DAY(JulSun1)=1,JulSun1+18,JulSun1+25)</f>
        <v>42207</v>
      </c>
      <c r="G7" s="16">
        <f>IF(DAY(JulSun1)=1,JulSun1+19,JulSun1+26)</f>
        <v>42208</v>
      </c>
      <c r="H7" s="16">
        <f>IF(DAY(JulSun1)=1,JulSun1+20,JulSun1+27)</f>
        <v>42209</v>
      </c>
      <c r="I7" s="16">
        <f>IF(DAY(JulSun1)=1,JulSun1+21,JulSun1+28)</f>
        <v>42210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IF(DAY(JulSun1)=1,JulSun1+22,JulSun1+29)</f>
        <v>42211</v>
      </c>
      <c r="D8" s="16">
        <f>IF(DAY(JulSun1)=1,JulSun1+23,JulSun1+30)</f>
        <v>42212</v>
      </c>
      <c r="E8" s="16">
        <f>IF(DAY(JulSun1)=1,JulSun1+24,JulSun1+31)</f>
        <v>42213</v>
      </c>
      <c r="F8" s="16">
        <f>IF(DAY(JulSun1)=1,JulSun1+25,JulSun1+32)</f>
        <v>42214</v>
      </c>
      <c r="G8" s="16">
        <f>IF(DAY(JulSun1)=1,JulSun1+26,JulSun1+33)</f>
        <v>42215</v>
      </c>
      <c r="H8" s="16">
        <f>IF(DAY(JulSun1)=1,JulSun1+27,JulSun1+34)</f>
        <v>42216</v>
      </c>
      <c r="I8" s="16">
        <f>IF(DAY(JulSun1)=1,JulSun1+28,JulSun1+35)</f>
        <v>42217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IF(DAY(JulSun1)=1,JulSun1+29,JulSun1+36)</f>
        <v>42218</v>
      </c>
      <c r="D9" s="16">
        <f>IF(DAY(JulSun1)=1,JulSun1+30,JulSun1+37)</f>
        <v>42219</v>
      </c>
      <c r="E9" s="16">
        <f>IF(DAY(JulSun1)=1,JulSun1+31,JulSun1+38)</f>
        <v>42220</v>
      </c>
      <c r="F9" s="16">
        <f>IF(DAY(JulSun1)=1,JulSun1+32,JulSun1+39)</f>
        <v>42221</v>
      </c>
      <c r="G9" s="16">
        <f>IF(DAY(JulSun1)=1,JulSun1+33,JulSun1+40)</f>
        <v>42222</v>
      </c>
      <c r="H9" s="16">
        <f>IF(DAY(JulSun1)=1,JulSun1+34,JulSun1+41)</f>
        <v>42223</v>
      </c>
      <c r="I9" s="16">
        <f>IF(DAY(JulSun1)=1,JulSun1+35,JulSun1+42)</f>
        <v>42224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39" priority="3" stopIfTrue="1">
      <formula>DAY(C4)&gt;8</formula>
    </cfRule>
  </conditionalFormatting>
  <conditionalFormatting sqref="C8:I10">
    <cfRule type="expression" dxfId="38" priority="2" stopIfTrue="1">
      <formula>AND(DAY(C8)&gt;=1,DAY(C8)&lt;=15)</formula>
    </cfRule>
  </conditionalFormatting>
  <conditionalFormatting sqref="C4:I9">
    <cfRule type="expression" dxfId="37" priority="4">
      <formula>VLOOKUP(DAY(C4),AssignmentDays,1,FALSE)=DAY(C4)</formula>
    </cfRule>
  </conditionalFormatting>
  <conditionalFormatting sqref="B14:J33">
    <cfRule type="expression" dxfId="36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30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IF(DAY(AugSun1)=1,AugSun1-6,AugSun1+1)</f>
        <v>42211</v>
      </c>
      <c r="D4" s="16">
        <f>IF(DAY(AugSun1)=1,AugSun1-5,AugSun1+2)</f>
        <v>42212</v>
      </c>
      <c r="E4" s="16">
        <f>IF(DAY(AugSun1)=1,AugSun1-4,AugSun1+3)</f>
        <v>42213</v>
      </c>
      <c r="F4" s="16">
        <f>IF(DAY(AugSun1)=1,AugSun1-3,AugSun1+4)</f>
        <v>42214</v>
      </c>
      <c r="G4" s="16">
        <f>IF(DAY(AugSun1)=1,AugSun1-2,AugSun1+5)</f>
        <v>42215</v>
      </c>
      <c r="H4" s="16">
        <f>IF(DAY(AugSun1)=1,AugSun1-1,AugSun1+6)</f>
        <v>42216</v>
      </c>
      <c r="I4" s="16">
        <f>IF(DAY(AugSun1)=1,AugSun1,AugSun1+7)</f>
        <v>42217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IF(DAY(AugSun1)=1,AugSun1+1,AugSun1+8)</f>
        <v>42218</v>
      </c>
      <c r="D5" s="16">
        <f>IF(DAY(AugSun1)=1,AugSun1+2,AugSun1+9)</f>
        <v>42219</v>
      </c>
      <c r="E5" s="16">
        <f>IF(DAY(AugSun1)=1,AugSun1+3,AugSun1+10)</f>
        <v>42220</v>
      </c>
      <c r="F5" s="16">
        <f>IF(DAY(AugSun1)=1,AugSun1+4,AugSun1+11)</f>
        <v>42221</v>
      </c>
      <c r="G5" s="16">
        <f>IF(DAY(AugSun1)=1,AugSun1+5,AugSun1+12)</f>
        <v>42222</v>
      </c>
      <c r="H5" s="16">
        <f>IF(DAY(AugSun1)=1,AugSun1+6,AugSun1+13)</f>
        <v>42223</v>
      </c>
      <c r="I5" s="16">
        <f>IF(DAY(AugSun1)=1,AugSun1+7,AugSun1+14)</f>
        <v>42224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IF(DAY(AugSun1)=1,AugSun1+8,AugSun1+15)</f>
        <v>42225</v>
      </c>
      <c r="D6" s="16">
        <f>IF(DAY(AugSun1)=1,AugSun1+9,AugSun1+16)</f>
        <v>42226</v>
      </c>
      <c r="E6" s="16">
        <f>IF(DAY(AugSun1)=1,AugSun1+10,AugSun1+17)</f>
        <v>42227</v>
      </c>
      <c r="F6" s="16">
        <f>IF(DAY(AugSun1)=1,AugSun1+11,AugSun1+18)</f>
        <v>42228</v>
      </c>
      <c r="G6" s="16">
        <f>IF(DAY(AugSun1)=1,AugSun1+12,AugSun1+19)</f>
        <v>42229</v>
      </c>
      <c r="H6" s="16">
        <f>IF(DAY(AugSun1)=1,AugSun1+13,AugSun1+20)</f>
        <v>42230</v>
      </c>
      <c r="I6" s="16">
        <f>IF(DAY(AugSun1)=1,AugSun1+14,AugSun1+21)</f>
        <v>42231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IF(DAY(AugSun1)=1,AugSun1+15,AugSun1+22)</f>
        <v>42232</v>
      </c>
      <c r="D7" s="16">
        <f>IF(DAY(AugSun1)=1,AugSun1+16,AugSun1+23)</f>
        <v>42233</v>
      </c>
      <c r="E7" s="16">
        <f>IF(DAY(AugSun1)=1,AugSun1+17,AugSun1+24)</f>
        <v>42234</v>
      </c>
      <c r="F7" s="16">
        <f>IF(DAY(AugSun1)=1,AugSun1+18,AugSun1+25)</f>
        <v>42235</v>
      </c>
      <c r="G7" s="16">
        <f>IF(DAY(AugSun1)=1,AugSun1+19,AugSun1+26)</f>
        <v>42236</v>
      </c>
      <c r="H7" s="16">
        <f>IF(DAY(AugSun1)=1,AugSun1+20,AugSun1+27)</f>
        <v>42237</v>
      </c>
      <c r="I7" s="16">
        <f>IF(DAY(AugSun1)=1,AugSun1+21,AugSun1+28)</f>
        <v>42238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IF(DAY(AugSun1)=1,AugSun1+22,AugSun1+29)</f>
        <v>42239</v>
      </c>
      <c r="D8" s="16">
        <f>IF(DAY(AugSun1)=1,AugSun1+23,AugSun1+30)</f>
        <v>42240</v>
      </c>
      <c r="E8" s="16">
        <f>IF(DAY(AugSun1)=1,AugSun1+24,AugSun1+31)</f>
        <v>42241</v>
      </c>
      <c r="F8" s="16">
        <f>IF(DAY(AugSun1)=1,AugSun1+25,AugSun1+32)</f>
        <v>42242</v>
      </c>
      <c r="G8" s="16">
        <f>IF(DAY(AugSun1)=1,AugSun1+26,AugSun1+33)</f>
        <v>42243</v>
      </c>
      <c r="H8" s="16">
        <f>IF(DAY(AugSun1)=1,AugSun1+27,AugSun1+34)</f>
        <v>42244</v>
      </c>
      <c r="I8" s="16">
        <f>IF(DAY(AugSun1)=1,AugSun1+28,AugSun1+35)</f>
        <v>42245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IF(DAY(AugSun1)=1,AugSun1+29,AugSun1+36)</f>
        <v>42246</v>
      </c>
      <c r="D9" s="16">
        <f>IF(DAY(AugSun1)=1,AugSun1+30,AugSun1+37)</f>
        <v>42247</v>
      </c>
      <c r="E9" s="16">
        <f>IF(DAY(AugSun1)=1,AugSun1+31,AugSun1+38)</f>
        <v>42248</v>
      </c>
      <c r="F9" s="16">
        <f>IF(DAY(AugSun1)=1,AugSun1+32,AugSun1+39)</f>
        <v>42249</v>
      </c>
      <c r="G9" s="16">
        <f>IF(DAY(AugSun1)=1,AugSun1+33,AugSun1+40)</f>
        <v>42250</v>
      </c>
      <c r="H9" s="16">
        <f>IF(DAY(AugSun1)=1,AugSun1+34,AugSun1+41)</f>
        <v>42251</v>
      </c>
      <c r="I9" s="16">
        <f>IF(DAY(AugSun1)=1,AugSun1+35,AugSun1+42)</f>
        <v>42252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35" priority="3" stopIfTrue="1">
      <formula>DAY(C4)&gt;8</formula>
    </cfRule>
  </conditionalFormatting>
  <conditionalFormatting sqref="C8:I10">
    <cfRule type="expression" dxfId="34" priority="2" stopIfTrue="1">
      <formula>AND(DAY(C8)&gt;=1,DAY(C8)&lt;=15)</formula>
    </cfRule>
  </conditionalFormatting>
  <conditionalFormatting sqref="C4:I9">
    <cfRule type="expression" dxfId="33" priority="4">
      <formula>VLOOKUP(DAY(C4),AssignmentDays,1,FALSE)=DAY(C4)</formula>
    </cfRule>
  </conditionalFormatting>
  <conditionalFormatting sqref="B14:J33">
    <cfRule type="expression" dxfId="32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31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IF(DAY(SepSun1)=1,SepSun1-6,SepSun1+1)</f>
        <v>42246</v>
      </c>
      <c r="D4" s="16">
        <f>IF(DAY(SepSun1)=1,SepSun1-5,SepSun1+2)</f>
        <v>42247</v>
      </c>
      <c r="E4" s="16">
        <f>IF(DAY(SepSun1)=1,SepSun1-4,SepSun1+3)</f>
        <v>42248</v>
      </c>
      <c r="F4" s="16">
        <f>IF(DAY(SepSun1)=1,SepSun1-3,SepSun1+4)</f>
        <v>42249</v>
      </c>
      <c r="G4" s="16">
        <f>IF(DAY(SepSun1)=1,SepSun1-2,SepSun1+5)</f>
        <v>42250</v>
      </c>
      <c r="H4" s="16">
        <f>IF(DAY(SepSun1)=1,SepSun1-1,SepSun1+6)</f>
        <v>42251</v>
      </c>
      <c r="I4" s="16">
        <f>IF(DAY(SepSun1)=1,SepSun1,SepSun1+7)</f>
        <v>42252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IF(DAY(SepSun1)=1,SepSun1+1,SepSun1+8)</f>
        <v>42253</v>
      </c>
      <c r="D5" s="16">
        <f>IF(DAY(SepSun1)=1,SepSun1+2,SepSun1+9)</f>
        <v>42254</v>
      </c>
      <c r="E5" s="16">
        <f>IF(DAY(SepSun1)=1,SepSun1+3,SepSun1+10)</f>
        <v>42255</v>
      </c>
      <c r="F5" s="16">
        <f>IF(DAY(SepSun1)=1,SepSun1+4,SepSun1+11)</f>
        <v>42256</v>
      </c>
      <c r="G5" s="16">
        <f>IF(DAY(SepSun1)=1,SepSun1+5,SepSun1+12)</f>
        <v>42257</v>
      </c>
      <c r="H5" s="16">
        <f>IF(DAY(SepSun1)=1,SepSun1+6,SepSun1+13)</f>
        <v>42258</v>
      </c>
      <c r="I5" s="16">
        <f>IF(DAY(SepSun1)=1,SepSun1+7,SepSun1+14)</f>
        <v>42259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IF(DAY(SepSun1)=1,SepSun1+8,SepSun1+15)</f>
        <v>42260</v>
      </c>
      <c r="D6" s="16">
        <f>IF(DAY(SepSun1)=1,SepSun1+9,SepSun1+16)</f>
        <v>42261</v>
      </c>
      <c r="E6" s="16">
        <f>IF(DAY(SepSun1)=1,SepSun1+10,SepSun1+17)</f>
        <v>42262</v>
      </c>
      <c r="F6" s="16">
        <f>IF(DAY(SepSun1)=1,SepSun1+11,SepSun1+18)</f>
        <v>42263</v>
      </c>
      <c r="G6" s="16">
        <f>IF(DAY(SepSun1)=1,SepSun1+12,SepSun1+19)</f>
        <v>42264</v>
      </c>
      <c r="H6" s="16">
        <f>IF(DAY(SepSun1)=1,SepSun1+13,SepSun1+20)</f>
        <v>42265</v>
      </c>
      <c r="I6" s="16">
        <f>IF(DAY(SepSun1)=1,SepSun1+14,SepSun1+21)</f>
        <v>42266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IF(DAY(SepSun1)=1,SepSun1+15,SepSun1+22)</f>
        <v>42267</v>
      </c>
      <c r="D7" s="16">
        <f>IF(DAY(SepSun1)=1,SepSun1+16,SepSun1+23)</f>
        <v>42268</v>
      </c>
      <c r="E7" s="16">
        <f>IF(DAY(SepSun1)=1,SepSun1+17,SepSun1+24)</f>
        <v>42269</v>
      </c>
      <c r="F7" s="16">
        <f>IF(DAY(SepSun1)=1,SepSun1+18,SepSun1+25)</f>
        <v>42270</v>
      </c>
      <c r="G7" s="16">
        <f>IF(DAY(SepSun1)=1,SepSun1+19,SepSun1+26)</f>
        <v>42271</v>
      </c>
      <c r="H7" s="16">
        <f>IF(DAY(SepSun1)=1,SepSun1+20,SepSun1+27)</f>
        <v>42272</v>
      </c>
      <c r="I7" s="16">
        <f>IF(DAY(SepSun1)=1,SepSun1+21,SepSun1+28)</f>
        <v>42273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IF(DAY(SepSun1)=1,SepSun1+22,SepSun1+29)</f>
        <v>42274</v>
      </c>
      <c r="D8" s="16">
        <f>IF(DAY(SepSun1)=1,SepSun1+23,SepSun1+30)</f>
        <v>42275</v>
      </c>
      <c r="E8" s="16">
        <f>IF(DAY(SepSun1)=1,SepSun1+24,SepSun1+31)</f>
        <v>42276</v>
      </c>
      <c r="F8" s="16">
        <f>IF(DAY(SepSun1)=1,SepSun1+25,SepSun1+32)</f>
        <v>42277</v>
      </c>
      <c r="G8" s="16">
        <f>IF(DAY(SepSun1)=1,SepSun1+26,SepSun1+33)</f>
        <v>42278</v>
      </c>
      <c r="H8" s="16">
        <f>IF(DAY(SepSun1)=1,SepSun1+27,SepSun1+34)</f>
        <v>42279</v>
      </c>
      <c r="I8" s="16">
        <f>IF(DAY(SepSun1)=1,SepSun1+28,SepSun1+35)</f>
        <v>42280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IF(DAY(SepSun1)=1,SepSun1+29,SepSun1+36)</f>
        <v>42281</v>
      </c>
      <c r="D9" s="16">
        <f>IF(DAY(SepSun1)=1,SepSun1+30,SepSun1+37)</f>
        <v>42282</v>
      </c>
      <c r="E9" s="16">
        <f>IF(DAY(SepSun1)=1,SepSun1+31,SepSun1+38)</f>
        <v>42283</v>
      </c>
      <c r="F9" s="16">
        <f>IF(DAY(SepSun1)=1,SepSun1+32,SepSun1+39)</f>
        <v>42284</v>
      </c>
      <c r="G9" s="16">
        <f>IF(DAY(SepSun1)=1,SepSun1+33,SepSun1+40)</f>
        <v>42285</v>
      </c>
      <c r="H9" s="16">
        <f>IF(DAY(SepSun1)=1,SepSun1+34,SepSun1+41)</f>
        <v>42286</v>
      </c>
      <c r="I9" s="16">
        <f>IF(DAY(SepSun1)=1,SepSun1+35,SepSun1+42)</f>
        <v>42287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31" priority="3" stopIfTrue="1">
      <formula>DAY(C4)&gt;8</formula>
    </cfRule>
  </conditionalFormatting>
  <conditionalFormatting sqref="C8:I10">
    <cfRule type="expression" dxfId="30" priority="2" stopIfTrue="1">
      <formula>AND(DAY(C8)&gt;=1,DAY(C8)&lt;=15)</formula>
    </cfRule>
  </conditionalFormatting>
  <conditionalFormatting sqref="C4:I9">
    <cfRule type="expression" dxfId="29" priority="4">
      <formula>VLOOKUP(DAY(C4),AssignmentDays,1,FALSE)=DAY(C4)</formula>
    </cfRule>
  </conditionalFormatting>
  <conditionalFormatting sqref="B14:J33">
    <cfRule type="expression" dxfId="28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32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IF(DAY(OctSun1)=1,OctSun1-6,OctSun1+1)</f>
        <v>42274</v>
      </c>
      <c r="D4" s="16">
        <f>IF(DAY(OctSun1)=1,OctSun1-5,OctSun1+2)</f>
        <v>42275</v>
      </c>
      <c r="E4" s="16">
        <f>IF(DAY(OctSun1)=1,OctSun1-4,OctSun1+3)</f>
        <v>42276</v>
      </c>
      <c r="F4" s="16">
        <f>IF(DAY(OctSun1)=1,OctSun1-3,OctSun1+4)</f>
        <v>42277</v>
      </c>
      <c r="G4" s="16">
        <f>IF(DAY(OctSun1)=1,OctSun1-2,OctSun1+5)</f>
        <v>42278</v>
      </c>
      <c r="H4" s="16">
        <f>IF(DAY(OctSun1)=1,OctSun1-1,OctSun1+6)</f>
        <v>42279</v>
      </c>
      <c r="I4" s="16">
        <f>IF(DAY(OctSun1)=1,OctSun1,OctSun1+7)</f>
        <v>42280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IF(DAY(OctSun1)=1,OctSun1+1,OctSun1+8)</f>
        <v>42281</v>
      </c>
      <c r="D5" s="16">
        <f>IF(DAY(OctSun1)=1,OctSun1+2,OctSun1+9)</f>
        <v>42282</v>
      </c>
      <c r="E5" s="16">
        <f>IF(DAY(OctSun1)=1,OctSun1+3,OctSun1+10)</f>
        <v>42283</v>
      </c>
      <c r="F5" s="16">
        <f>IF(DAY(OctSun1)=1,OctSun1+4,OctSun1+11)</f>
        <v>42284</v>
      </c>
      <c r="G5" s="16">
        <f>IF(DAY(OctSun1)=1,OctSun1+5,OctSun1+12)</f>
        <v>42285</v>
      </c>
      <c r="H5" s="16">
        <f>IF(DAY(OctSun1)=1,OctSun1+6,OctSun1+13)</f>
        <v>42286</v>
      </c>
      <c r="I5" s="16">
        <f>IF(DAY(OctSun1)=1,OctSun1+7,OctSun1+14)</f>
        <v>42287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IF(DAY(OctSun1)=1,OctSun1+8,OctSun1+15)</f>
        <v>42288</v>
      </c>
      <c r="D6" s="16">
        <f>IF(DAY(OctSun1)=1,OctSun1+9,OctSun1+16)</f>
        <v>42289</v>
      </c>
      <c r="E6" s="16">
        <f>IF(DAY(OctSun1)=1,OctSun1+10,OctSun1+17)</f>
        <v>42290</v>
      </c>
      <c r="F6" s="16">
        <f>IF(DAY(OctSun1)=1,OctSun1+11,OctSun1+18)</f>
        <v>42291</v>
      </c>
      <c r="G6" s="16">
        <f>IF(DAY(OctSun1)=1,OctSun1+12,OctSun1+19)</f>
        <v>42292</v>
      </c>
      <c r="H6" s="16">
        <f>IF(DAY(OctSun1)=1,OctSun1+13,OctSun1+20)</f>
        <v>42293</v>
      </c>
      <c r="I6" s="16">
        <f>IF(DAY(OctSun1)=1,OctSun1+14,OctSun1+21)</f>
        <v>42294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IF(DAY(OctSun1)=1,OctSun1+15,OctSun1+22)</f>
        <v>42295</v>
      </c>
      <c r="D7" s="16">
        <f>IF(DAY(OctSun1)=1,OctSun1+16,OctSun1+23)</f>
        <v>42296</v>
      </c>
      <c r="E7" s="16">
        <f>IF(DAY(OctSun1)=1,OctSun1+17,OctSun1+24)</f>
        <v>42297</v>
      </c>
      <c r="F7" s="16">
        <f>IF(DAY(OctSun1)=1,OctSun1+18,OctSun1+25)</f>
        <v>42298</v>
      </c>
      <c r="G7" s="16">
        <f>IF(DAY(OctSun1)=1,OctSun1+19,OctSun1+26)</f>
        <v>42299</v>
      </c>
      <c r="H7" s="16">
        <f>IF(DAY(OctSun1)=1,OctSun1+20,OctSun1+27)</f>
        <v>42300</v>
      </c>
      <c r="I7" s="16">
        <f>IF(DAY(OctSun1)=1,OctSun1+21,OctSun1+28)</f>
        <v>42301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IF(DAY(OctSun1)=1,OctSun1+22,OctSun1+29)</f>
        <v>42302</v>
      </c>
      <c r="D8" s="16">
        <f>IF(DAY(OctSun1)=1,OctSun1+23,OctSun1+30)</f>
        <v>42303</v>
      </c>
      <c r="E8" s="16">
        <f>IF(DAY(OctSun1)=1,OctSun1+24,OctSun1+31)</f>
        <v>42304</v>
      </c>
      <c r="F8" s="16">
        <f>IF(DAY(OctSun1)=1,OctSun1+25,OctSun1+32)</f>
        <v>42305</v>
      </c>
      <c r="G8" s="16">
        <f>IF(DAY(OctSun1)=1,OctSun1+26,OctSun1+33)</f>
        <v>42306</v>
      </c>
      <c r="H8" s="16">
        <f>IF(DAY(OctSun1)=1,OctSun1+27,OctSun1+34)</f>
        <v>42307</v>
      </c>
      <c r="I8" s="16">
        <f>IF(DAY(OctSun1)=1,OctSun1+28,OctSun1+35)</f>
        <v>42308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IF(DAY(OctSun1)=1,OctSun1+29,OctSun1+36)</f>
        <v>42309</v>
      </c>
      <c r="D9" s="16">
        <f>IF(DAY(OctSun1)=1,OctSun1+30,OctSun1+37)</f>
        <v>42310</v>
      </c>
      <c r="E9" s="16">
        <f>IF(DAY(OctSun1)=1,OctSun1+31,OctSun1+38)</f>
        <v>42311</v>
      </c>
      <c r="F9" s="16">
        <f>IF(DAY(OctSun1)=1,OctSun1+32,OctSun1+39)</f>
        <v>42312</v>
      </c>
      <c r="G9" s="16">
        <f>IF(DAY(OctSun1)=1,OctSun1+33,OctSun1+40)</f>
        <v>42313</v>
      </c>
      <c r="H9" s="16">
        <f>IF(DAY(OctSun1)=1,OctSun1+34,OctSun1+41)</f>
        <v>42314</v>
      </c>
      <c r="I9" s="16">
        <f>IF(DAY(OctSun1)=1,OctSun1+35,OctSun1+42)</f>
        <v>42315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0"/>
      <c r="C33" s="87"/>
      <c r="D33" s="88"/>
      <c r="E33" s="87"/>
      <c r="F33" s="88"/>
      <c r="G33" s="87"/>
      <c r="H33" s="88"/>
      <c r="I33" s="89"/>
      <c r="J33" s="90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27" priority="3" stopIfTrue="1">
      <formula>DAY(C4)&gt;8</formula>
    </cfRule>
  </conditionalFormatting>
  <conditionalFormatting sqref="C8:I10">
    <cfRule type="expression" dxfId="26" priority="2" stopIfTrue="1">
      <formula>AND(DAY(C8)&gt;=1,DAY(C8)&lt;=15)</formula>
    </cfRule>
  </conditionalFormatting>
  <conditionalFormatting sqref="C4:I9">
    <cfRule type="expression" dxfId="25" priority="4">
      <formula>VLOOKUP(DAY(C4),AssignmentDays,1,FALSE)=DAY(C4)</formula>
    </cfRule>
  </conditionalFormatting>
  <conditionalFormatting sqref="B14:J33">
    <cfRule type="expression" dxfId="24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33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IF(DAY(NovSun1)=1,NovSun1-6,NovSun1+1)</f>
        <v>42309</v>
      </c>
      <c r="D4" s="16">
        <f>IF(DAY(NovSun1)=1,NovSun1-5,NovSun1+2)</f>
        <v>42310</v>
      </c>
      <c r="E4" s="16">
        <f>IF(DAY(NovSun1)=1,NovSun1-4,NovSun1+3)</f>
        <v>42311</v>
      </c>
      <c r="F4" s="16">
        <f>IF(DAY(NovSun1)=1,NovSun1-3,NovSun1+4)</f>
        <v>42312</v>
      </c>
      <c r="G4" s="16">
        <f>IF(DAY(NovSun1)=1,NovSun1-2,NovSun1+5)</f>
        <v>42313</v>
      </c>
      <c r="H4" s="16">
        <f>IF(DAY(NovSun1)=1,NovSun1-1,NovSun1+6)</f>
        <v>42314</v>
      </c>
      <c r="I4" s="16">
        <f>IF(DAY(NovSun1)=1,NovSun1,NovSun1+7)</f>
        <v>42315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IF(DAY(NovSun1)=1,NovSun1+1,NovSun1+8)</f>
        <v>42316</v>
      </c>
      <c r="D5" s="16">
        <f>IF(DAY(NovSun1)=1,NovSun1+2,NovSun1+9)</f>
        <v>42317</v>
      </c>
      <c r="E5" s="16">
        <f>IF(DAY(NovSun1)=1,NovSun1+3,NovSun1+10)</f>
        <v>42318</v>
      </c>
      <c r="F5" s="16">
        <f>IF(DAY(NovSun1)=1,NovSun1+4,NovSun1+11)</f>
        <v>42319</v>
      </c>
      <c r="G5" s="16">
        <f>IF(DAY(NovSun1)=1,NovSun1+5,NovSun1+12)</f>
        <v>42320</v>
      </c>
      <c r="H5" s="16">
        <f>IF(DAY(NovSun1)=1,NovSun1+6,NovSun1+13)</f>
        <v>42321</v>
      </c>
      <c r="I5" s="16">
        <f>IF(DAY(NovSun1)=1,NovSun1+7,NovSun1+14)</f>
        <v>42322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IF(DAY(NovSun1)=1,NovSun1+8,NovSun1+15)</f>
        <v>42323</v>
      </c>
      <c r="D6" s="16">
        <f>IF(DAY(NovSun1)=1,NovSun1+9,NovSun1+16)</f>
        <v>42324</v>
      </c>
      <c r="E6" s="16">
        <f>IF(DAY(NovSun1)=1,NovSun1+10,NovSun1+17)</f>
        <v>42325</v>
      </c>
      <c r="F6" s="16">
        <f>IF(DAY(NovSun1)=1,NovSun1+11,NovSun1+18)</f>
        <v>42326</v>
      </c>
      <c r="G6" s="16">
        <f>IF(DAY(NovSun1)=1,NovSun1+12,NovSun1+19)</f>
        <v>42327</v>
      </c>
      <c r="H6" s="16">
        <f>IF(DAY(NovSun1)=1,NovSun1+13,NovSun1+20)</f>
        <v>42328</v>
      </c>
      <c r="I6" s="16">
        <f>IF(DAY(NovSun1)=1,NovSun1+14,NovSun1+21)</f>
        <v>42329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IF(DAY(NovSun1)=1,NovSun1+15,NovSun1+22)</f>
        <v>42330</v>
      </c>
      <c r="D7" s="16">
        <f>IF(DAY(NovSun1)=1,NovSun1+16,NovSun1+23)</f>
        <v>42331</v>
      </c>
      <c r="E7" s="16">
        <f>IF(DAY(NovSun1)=1,NovSun1+17,NovSun1+24)</f>
        <v>42332</v>
      </c>
      <c r="F7" s="16">
        <f>IF(DAY(NovSun1)=1,NovSun1+18,NovSun1+25)</f>
        <v>42333</v>
      </c>
      <c r="G7" s="16">
        <f>IF(DAY(NovSun1)=1,NovSun1+19,NovSun1+26)</f>
        <v>42334</v>
      </c>
      <c r="H7" s="16">
        <f>IF(DAY(NovSun1)=1,NovSun1+20,NovSun1+27)</f>
        <v>42335</v>
      </c>
      <c r="I7" s="16">
        <f>IF(DAY(NovSun1)=1,NovSun1+21,NovSun1+28)</f>
        <v>42336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IF(DAY(NovSun1)=1,NovSun1+22,NovSun1+29)</f>
        <v>42337</v>
      </c>
      <c r="D8" s="16">
        <f>IF(DAY(NovSun1)=1,NovSun1+23,NovSun1+30)</f>
        <v>42338</v>
      </c>
      <c r="E8" s="16">
        <f>IF(DAY(NovSun1)=1,NovSun1+24,NovSun1+31)</f>
        <v>42339</v>
      </c>
      <c r="F8" s="16">
        <f>IF(DAY(NovSun1)=1,NovSun1+25,NovSun1+32)</f>
        <v>42340</v>
      </c>
      <c r="G8" s="16">
        <f>IF(DAY(NovSun1)=1,NovSun1+26,NovSun1+33)</f>
        <v>42341</v>
      </c>
      <c r="H8" s="16">
        <f>IF(DAY(NovSun1)=1,NovSun1+27,NovSun1+34)</f>
        <v>42342</v>
      </c>
      <c r="I8" s="16">
        <f>IF(DAY(NovSun1)=1,NovSun1+28,NovSun1+35)</f>
        <v>42343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IF(DAY(NovSun1)=1,NovSun1+29,NovSun1+36)</f>
        <v>42344</v>
      </c>
      <c r="D9" s="16">
        <f>IF(DAY(NovSun1)=1,NovSun1+30,NovSun1+37)</f>
        <v>42345</v>
      </c>
      <c r="E9" s="16">
        <f>IF(DAY(NovSun1)=1,NovSun1+31,NovSun1+38)</f>
        <v>42346</v>
      </c>
      <c r="F9" s="16">
        <f>IF(DAY(NovSun1)=1,NovSun1+32,NovSun1+39)</f>
        <v>42347</v>
      </c>
      <c r="G9" s="16">
        <f>IF(DAY(NovSun1)=1,NovSun1+33,NovSun1+40)</f>
        <v>42348</v>
      </c>
      <c r="H9" s="16">
        <f>IF(DAY(NovSun1)=1,NovSun1+34,NovSun1+41)</f>
        <v>42349</v>
      </c>
      <c r="I9" s="16">
        <f>IF(DAY(NovSun1)=1,NovSun1+35,NovSun1+42)</f>
        <v>42350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23" priority="3" stopIfTrue="1">
      <formula>DAY(C4)&gt;8</formula>
    </cfRule>
  </conditionalFormatting>
  <conditionalFormatting sqref="C8:I10">
    <cfRule type="expression" dxfId="22" priority="2" stopIfTrue="1">
      <formula>AND(DAY(C8)&gt;=1,DAY(C8)&lt;=15)</formula>
    </cfRule>
  </conditionalFormatting>
  <conditionalFormatting sqref="C4:I9">
    <cfRule type="expression" dxfId="21" priority="4">
      <formula>VLOOKUP(DAY(C4),AssignmentDays,1,FALSE)=DAY(C4)</formula>
    </cfRule>
  </conditionalFormatting>
  <conditionalFormatting sqref="B14:J33">
    <cfRule type="expression" dxfId="20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/>
    <pageSetUpPr fitToPage="1"/>
  </sheetPr>
  <dimension ref="A1:N33"/>
  <sheetViews>
    <sheetView showGridLines="0" zoomScaleNormal="100" zoomScalePageLayoutView="84" workbookViewId="0"/>
  </sheetViews>
  <sheetFormatPr defaultColWidth="8.625" defaultRowHeight="16.5" customHeight="1" x14ac:dyDescent="0.25"/>
  <cols>
    <col min="1" max="1" width="2.125" style="1" customWidth="1"/>
    <col min="2" max="2" width="12.625" style="1" customWidth="1"/>
    <col min="3" max="10" width="6.625" style="1" customWidth="1"/>
    <col min="11" max="11" width="7.125" style="1" customWidth="1"/>
    <col min="12" max="12" width="3.875" style="1" customWidth="1"/>
    <col min="13" max="13" width="51.375" style="1" customWidth="1"/>
    <col min="14" max="14" width="10.625" style="1" customWidth="1"/>
    <col min="15" max="15" width="2.125" style="1" customWidth="1"/>
    <col min="16" max="22" width="8.875" style="1" customWidth="1"/>
    <col min="23" max="16384" width="8.625" style="1"/>
  </cols>
  <sheetData>
    <row r="1" spans="1:14" ht="11.25" customHeight="1" x14ac:dyDescent="0.25"/>
    <row r="2" spans="1:14" ht="18" customHeight="1" x14ac:dyDescent="0.25">
      <c r="A2" s="2"/>
      <c r="B2" s="7"/>
      <c r="C2" s="4"/>
      <c r="D2" s="4"/>
      <c r="E2" s="4"/>
      <c r="F2" s="4"/>
      <c r="G2" s="4"/>
      <c r="H2" s="4"/>
      <c r="I2" s="4"/>
      <c r="J2" s="5"/>
      <c r="K2" s="50" t="s">
        <v>1</v>
      </c>
      <c r="L2" s="51">
        <v>2013</v>
      </c>
      <c r="M2" s="51"/>
      <c r="N2" s="85">
        <f>CalendarYear</f>
        <v>2015</v>
      </c>
    </row>
    <row r="3" spans="1:14" ht="21" customHeight="1" x14ac:dyDescent="0.25">
      <c r="A3" s="2"/>
      <c r="B3" s="76" t="s">
        <v>34</v>
      </c>
      <c r="C3" s="14" t="s">
        <v>39</v>
      </c>
      <c r="D3" s="14" t="s">
        <v>2</v>
      </c>
      <c r="E3" s="14" t="s">
        <v>3</v>
      </c>
      <c r="F3" s="14" t="s">
        <v>4</v>
      </c>
      <c r="G3" s="14" t="s">
        <v>38</v>
      </c>
      <c r="H3" s="14" t="s">
        <v>5</v>
      </c>
      <c r="I3" s="14" t="s">
        <v>6</v>
      </c>
      <c r="J3" s="3"/>
      <c r="K3" s="52"/>
      <c r="L3" s="53"/>
      <c r="M3" s="53"/>
      <c r="N3" s="86"/>
    </row>
    <row r="4" spans="1:14" ht="18" customHeight="1" x14ac:dyDescent="0.25">
      <c r="A4" s="2"/>
      <c r="B4" s="76"/>
      <c r="C4" s="16">
        <f>IF(DAY(DecSun1)=1,DecSun1-6,DecSun1+1)</f>
        <v>42337</v>
      </c>
      <c r="D4" s="16">
        <f>IF(DAY(DecSun1)=1,DecSun1-5,DecSun1+2)</f>
        <v>42338</v>
      </c>
      <c r="E4" s="16">
        <f>IF(DAY(DecSun1)=1,DecSun1-4,DecSun1+3)</f>
        <v>42339</v>
      </c>
      <c r="F4" s="16">
        <f>IF(DAY(DecSun1)=1,DecSun1-3,DecSun1+4)</f>
        <v>42340</v>
      </c>
      <c r="G4" s="16">
        <f>IF(DAY(DecSun1)=1,DecSun1-2,DecSun1+5)</f>
        <v>42341</v>
      </c>
      <c r="H4" s="16">
        <f>IF(DAY(DecSun1)=1,DecSun1-1,DecSun1+6)</f>
        <v>42342</v>
      </c>
      <c r="I4" s="16">
        <f>IF(DAY(DecSun1)=1,DecSun1,DecSun1+7)</f>
        <v>42343</v>
      </c>
      <c r="J4" s="3"/>
      <c r="K4" s="54" t="s">
        <v>7</v>
      </c>
      <c r="L4" s="17"/>
      <c r="M4" s="55"/>
      <c r="N4" s="56"/>
    </row>
    <row r="5" spans="1:14" ht="18" customHeight="1" x14ac:dyDescent="0.25">
      <c r="A5" s="2"/>
      <c r="B5" s="33"/>
      <c r="C5" s="16">
        <f>IF(DAY(DecSun1)=1,DecSun1+1,DecSun1+8)</f>
        <v>42344</v>
      </c>
      <c r="D5" s="16">
        <f>IF(DAY(DecSun1)=1,DecSun1+2,DecSun1+9)</f>
        <v>42345</v>
      </c>
      <c r="E5" s="16">
        <f>IF(DAY(DecSun1)=1,DecSun1+3,DecSun1+10)</f>
        <v>42346</v>
      </c>
      <c r="F5" s="16">
        <f>IF(DAY(DecSun1)=1,DecSun1+4,DecSun1+11)</f>
        <v>42347</v>
      </c>
      <c r="G5" s="16">
        <f>IF(DAY(DecSun1)=1,DecSun1+5,DecSun1+12)</f>
        <v>42348</v>
      </c>
      <c r="H5" s="16">
        <f>IF(DAY(DecSun1)=1,DecSun1+6,DecSun1+13)</f>
        <v>42349</v>
      </c>
      <c r="I5" s="16">
        <f>IF(DAY(DecSun1)=1,DecSun1+7,DecSun1+14)</f>
        <v>42350</v>
      </c>
      <c r="J5" s="3"/>
      <c r="K5" s="40"/>
      <c r="L5" s="19"/>
      <c r="M5" s="41"/>
      <c r="N5" s="42"/>
    </row>
    <row r="6" spans="1:14" ht="18" customHeight="1" x14ac:dyDescent="0.25">
      <c r="A6" s="2"/>
      <c r="B6" s="33"/>
      <c r="C6" s="16">
        <f>IF(DAY(DecSun1)=1,DecSun1+8,DecSun1+15)</f>
        <v>42351</v>
      </c>
      <c r="D6" s="16">
        <f>IF(DAY(DecSun1)=1,DecSun1+9,DecSun1+16)</f>
        <v>42352</v>
      </c>
      <c r="E6" s="16">
        <f>IF(DAY(DecSun1)=1,DecSun1+10,DecSun1+17)</f>
        <v>42353</v>
      </c>
      <c r="F6" s="16">
        <f>IF(DAY(DecSun1)=1,DecSun1+11,DecSun1+18)</f>
        <v>42354</v>
      </c>
      <c r="G6" s="16">
        <f>IF(DAY(DecSun1)=1,DecSun1+12,DecSun1+19)</f>
        <v>42355</v>
      </c>
      <c r="H6" s="16">
        <f>IF(DAY(DecSun1)=1,DecSun1+13,DecSun1+20)</f>
        <v>42356</v>
      </c>
      <c r="I6" s="16">
        <f>IF(DAY(DecSun1)=1,DecSun1+14,DecSun1+21)</f>
        <v>42357</v>
      </c>
      <c r="J6" s="3"/>
      <c r="K6" s="40"/>
      <c r="L6" s="19"/>
      <c r="M6" s="41"/>
      <c r="N6" s="42"/>
    </row>
    <row r="7" spans="1:14" ht="18" customHeight="1" x14ac:dyDescent="0.25">
      <c r="A7" s="2"/>
      <c r="B7" s="33"/>
      <c r="C7" s="16">
        <f>IF(DAY(DecSun1)=1,DecSun1+15,DecSun1+22)</f>
        <v>42358</v>
      </c>
      <c r="D7" s="16">
        <f>IF(DAY(DecSun1)=1,DecSun1+16,DecSun1+23)</f>
        <v>42359</v>
      </c>
      <c r="E7" s="16">
        <f>IF(DAY(DecSun1)=1,DecSun1+17,DecSun1+24)</f>
        <v>42360</v>
      </c>
      <c r="F7" s="16">
        <f>IF(DAY(DecSun1)=1,DecSun1+18,DecSun1+25)</f>
        <v>42361</v>
      </c>
      <c r="G7" s="16">
        <f>IF(DAY(DecSun1)=1,DecSun1+19,DecSun1+26)</f>
        <v>42362</v>
      </c>
      <c r="H7" s="16">
        <f>IF(DAY(DecSun1)=1,DecSun1+20,DecSun1+27)</f>
        <v>42363</v>
      </c>
      <c r="I7" s="16">
        <f>IF(DAY(DecSun1)=1,DecSun1+21,DecSun1+28)</f>
        <v>42364</v>
      </c>
      <c r="J7" s="3"/>
      <c r="K7" s="20"/>
      <c r="L7" s="19"/>
      <c r="M7" s="41"/>
      <c r="N7" s="42"/>
    </row>
    <row r="8" spans="1:14" ht="18.75" customHeight="1" x14ac:dyDescent="0.25">
      <c r="A8" s="2"/>
      <c r="B8" s="33"/>
      <c r="C8" s="16">
        <f>IF(DAY(DecSun1)=1,DecSun1+22,DecSun1+29)</f>
        <v>42365</v>
      </c>
      <c r="D8" s="16">
        <f>IF(DAY(DecSun1)=1,DecSun1+23,DecSun1+30)</f>
        <v>42366</v>
      </c>
      <c r="E8" s="16">
        <f>IF(DAY(DecSun1)=1,DecSun1+24,DecSun1+31)</f>
        <v>42367</v>
      </c>
      <c r="F8" s="16">
        <f>IF(DAY(DecSun1)=1,DecSun1+25,DecSun1+32)</f>
        <v>42368</v>
      </c>
      <c r="G8" s="16">
        <f>IF(DAY(DecSun1)=1,DecSun1+26,DecSun1+33)</f>
        <v>42369</v>
      </c>
      <c r="H8" s="16">
        <f>IF(DAY(DecSun1)=1,DecSun1+27,DecSun1+34)</f>
        <v>42370</v>
      </c>
      <c r="I8" s="16">
        <f>IF(DAY(DecSun1)=1,DecSun1+28,DecSun1+35)</f>
        <v>42371</v>
      </c>
      <c r="J8" s="3"/>
      <c r="K8" s="20"/>
      <c r="L8" s="19"/>
      <c r="M8" s="41"/>
      <c r="N8" s="42"/>
    </row>
    <row r="9" spans="1:14" ht="18" customHeight="1" x14ac:dyDescent="0.25">
      <c r="A9" s="2"/>
      <c r="B9" s="33"/>
      <c r="C9" s="16">
        <f>IF(DAY(DecSun1)=1,DecSun1+29,DecSun1+36)</f>
        <v>42372</v>
      </c>
      <c r="D9" s="16">
        <f>IF(DAY(DecSun1)=1,DecSun1+30,DecSun1+37)</f>
        <v>42373</v>
      </c>
      <c r="E9" s="16">
        <f>IF(DAY(DecSun1)=1,DecSun1+31,DecSun1+38)</f>
        <v>42374</v>
      </c>
      <c r="F9" s="16">
        <f>IF(DAY(DecSun1)=1,DecSun1+32,DecSun1+39)</f>
        <v>42375</v>
      </c>
      <c r="G9" s="16">
        <f>IF(DAY(DecSun1)=1,DecSun1+33,DecSun1+40)</f>
        <v>42376</v>
      </c>
      <c r="H9" s="16">
        <f>IF(DAY(DecSun1)=1,DecSun1+34,DecSun1+41)</f>
        <v>42377</v>
      </c>
      <c r="I9" s="16">
        <f>IF(DAY(DecSun1)=1,DecSun1+35,DecSun1+42)</f>
        <v>42378</v>
      </c>
      <c r="J9" s="3"/>
      <c r="K9" s="21"/>
      <c r="L9" s="22"/>
      <c r="M9" s="43"/>
      <c r="N9" s="44"/>
    </row>
    <row r="10" spans="1:14" ht="18" customHeight="1" x14ac:dyDescent="0.25">
      <c r="A10" s="2"/>
      <c r="B10" s="34"/>
      <c r="C10" s="24"/>
      <c r="D10" s="24"/>
      <c r="E10" s="24"/>
      <c r="F10" s="24"/>
      <c r="G10" s="24"/>
      <c r="H10" s="24"/>
      <c r="I10" s="24"/>
      <c r="J10" s="6"/>
      <c r="K10" s="39" t="s">
        <v>35</v>
      </c>
      <c r="L10" s="17"/>
      <c r="M10" s="45"/>
      <c r="N10" s="46"/>
    </row>
    <row r="11" spans="1:14" ht="18" customHeight="1" x14ac:dyDescent="0.25">
      <c r="A11" s="2"/>
      <c r="B11" s="78" t="s">
        <v>10</v>
      </c>
      <c r="C11" s="79"/>
      <c r="D11" s="79"/>
      <c r="E11" s="79"/>
      <c r="F11" s="79"/>
      <c r="G11" s="79"/>
      <c r="H11" s="79"/>
      <c r="I11" s="79"/>
      <c r="J11" s="80"/>
      <c r="K11" s="40"/>
      <c r="L11" s="19"/>
      <c r="M11" s="41"/>
      <c r="N11" s="42"/>
    </row>
    <row r="12" spans="1:14" ht="18" customHeight="1" x14ac:dyDescent="0.25">
      <c r="A12" s="2"/>
      <c r="B12" s="78"/>
      <c r="C12" s="79"/>
      <c r="D12" s="79"/>
      <c r="E12" s="79"/>
      <c r="F12" s="79"/>
      <c r="G12" s="79"/>
      <c r="H12" s="79"/>
      <c r="I12" s="79"/>
      <c r="J12" s="80"/>
      <c r="K12" s="40"/>
      <c r="L12" s="19"/>
      <c r="M12" s="41"/>
      <c r="N12" s="42"/>
    </row>
    <row r="13" spans="1:14" ht="18" customHeight="1" x14ac:dyDescent="0.25">
      <c r="B13" s="26" t="s">
        <v>7</v>
      </c>
      <c r="C13" s="47" t="s">
        <v>9</v>
      </c>
      <c r="D13" s="49"/>
      <c r="E13" s="47" t="s">
        <v>11</v>
      </c>
      <c r="F13" s="49"/>
      <c r="G13" s="47" t="s">
        <v>12</v>
      </c>
      <c r="H13" s="49"/>
      <c r="I13" s="47" t="s">
        <v>13</v>
      </c>
      <c r="J13" s="48"/>
      <c r="K13" s="20"/>
      <c r="L13" s="19"/>
      <c r="M13" s="41"/>
      <c r="N13" s="42"/>
    </row>
    <row r="14" spans="1:14" ht="18" customHeight="1" x14ac:dyDescent="0.25">
      <c r="B14" s="36" t="s">
        <v>14</v>
      </c>
      <c r="C14" s="61"/>
      <c r="D14" s="62"/>
      <c r="E14" s="61" t="s">
        <v>14</v>
      </c>
      <c r="F14" s="62"/>
      <c r="G14" s="61"/>
      <c r="H14" s="62"/>
      <c r="I14" s="61" t="s">
        <v>14</v>
      </c>
      <c r="J14" s="70"/>
      <c r="K14" s="20"/>
      <c r="L14" s="19"/>
      <c r="M14" s="41"/>
      <c r="N14" s="42"/>
    </row>
    <row r="15" spans="1:14" ht="18" customHeight="1" x14ac:dyDescent="0.25">
      <c r="B15" s="35" t="s">
        <v>15</v>
      </c>
      <c r="C15" s="59"/>
      <c r="D15" s="60"/>
      <c r="E15" s="59" t="s">
        <v>15</v>
      </c>
      <c r="F15" s="60"/>
      <c r="G15" s="59"/>
      <c r="H15" s="60"/>
      <c r="I15" s="67" t="s">
        <v>15</v>
      </c>
      <c r="J15" s="68"/>
      <c r="K15" s="27"/>
      <c r="L15" s="28"/>
      <c r="M15" s="43"/>
      <c r="N15" s="44"/>
    </row>
    <row r="16" spans="1:14" ht="18" customHeight="1" x14ac:dyDescent="0.25">
      <c r="B16" s="36"/>
      <c r="C16" s="61" t="s">
        <v>16</v>
      </c>
      <c r="D16" s="62"/>
      <c r="E16" s="61"/>
      <c r="F16" s="62"/>
      <c r="G16" s="61" t="s">
        <v>16</v>
      </c>
      <c r="H16" s="62"/>
      <c r="I16" s="71"/>
      <c r="J16" s="72"/>
      <c r="K16" s="39" t="s">
        <v>11</v>
      </c>
      <c r="L16" s="17"/>
      <c r="M16" s="45"/>
      <c r="N16" s="46"/>
    </row>
    <row r="17" spans="2:14" ht="18" customHeight="1" x14ac:dyDescent="0.25">
      <c r="B17" s="35"/>
      <c r="C17" s="59" t="s">
        <v>17</v>
      </c>
      <c r="D17" s="60"/>
      <c r="E17" s="59"/>
      <c r="F17" s="60"/>
      <c r="G17" s="59" t="s">
        <v>17</v>
      </c>
      <c r="H17" s="60"/>
      <c r="I17" s="67"/>
      <c r="J17" s="68"/>
      <c r="K17" s="40"/>
      <c r="L17" s="19"/>
      <c r="M17" s="41"/>
      <c r="N17" s="42"/>
    </row>
    <row r="18" spans="2:14" ht="18" customHeight="1" x14ac:dyDescent="0.25">
      <c r="B18" s="37" t="s">
        <v>18</v>
      </c>
      <c r="C18" s="63"/>
      <c r="D18" s="64"/>
      <c r="E18" s="63" t="s">
        <v>18</v>
      </c>
      <c r="F18" s="64"/>
      <c r="G18" s="63"/>
      <c r="H18" s="64"/>
      <c r="I18" s="63" t="s">
        <v>18</v>
      </c>
      <c r="J18" s="69"/>
      <c r="K18" s="40"/>
      <c r="L18" s="19"/>
      <c r="M18" s="41"/>
      <c r="N18" s="42"/>
    </row>
    <row r="19" spans="2:14" ht="18" customHeight="1" x14ac:dyDescent="0.25">
      <c r="B19" s="35" t="s">
        <v>19</v>
      </c>
      <c r="C19" s="59"/>
      <c r="D19" s="60"/>
      <c r="E19" s="59" t="s">
        <v>19</v>
      </c>
      <c r="F19" s="60"/>
      <c r="G19" s="59"/>
      <c r="H19" s="60"/>
      <c r="I19" s="67" t="s">
        <v>19</v>
      </c>
      <c r="J19" s="68"/>
      <c r="K19" s="20"/>
      <c r="L19" s="19"/>
      <c r="M19" s="41"/>
      <c r="N19" s="42"/>
    </row>
    <row r="20" spans="2:14" ht="18" customHeight="1" x14ac:dyDescent="0.25">
      <c r="B20" s="36"/>
      <c r="C20" s="61"/>
      <c r="D20" s="62"/>
      <c r="E20" s="61"/>
      <c r="F20" s="62"/>
      <c r="G20" s="61"/>
      <c r="H20" s="62"/>
      <c r="I20" s="61"/>
      <c r="J20" s="70"/>
      <c r="K20" s="20"/>
      <c r="L20" s="19"/>
      <c r="M20" s="41"/>
      <c r="N20" s="42"/>
    </row>
    <row r="21" spans="2:14" ht="18" customHeight="1" x14ac:dyDescent="0.25">
      <c r="B21" s="35"/>
      <c r="C21" s="59"/>
      <c r="D21" s="60"/>
      <c r="E21" s="59"/>
      <c r="F21" s="60"/>
      <c r="G21" s="59"/>
      <c r="H21" s="60"/>
      <c r="I21" s="73"/>
      <c r="J21" s="74"/>
      <c r="K21" s="27"/>
      <c r="L21" s="28"/>
      <c r="M21" s="43"/>
      <c r="N21" s="44"/>
    </row>
    <row r="22" spans="2:14" ht="18" customHeight="1" x14ac:dyDescent="0.25">
      <c r="B22" s="36"/>
      <c r="C22" s="61"/>
      <c r="D22" s="62"/>
      <c r="E22" s="61"/>
      <c r="F22" s="62"/>
      <c r="G22" s="61"/>
      <c r="H22" s="62"/>
      <c r="I22" s="61"/>
      <c r="J22" s="70"/>
      <c r="K22" s="39" t="s">
        <v>36</v>
      </c>
      <c r="L22" s="17"/>
      <c r="M22" s="45"/>
      <c r="N22" s="46"/>
    </row>
    <row r="23" spans="2:14" ht="18" customHeight="1" x14ac:dyDescent="0.25">
      <c r="B23" s="35"/>
      <c r="C23" s="59"/>
      <c r="D23" s="60"/>
      <c r="E23" s="59"/>
      <c r="F23" s="60"/>
      <c r="G23" s="59"/>
      <c r="H23" s="60"/>
      <c r="I23" s="67"/>
      <c r="J23" s="68"/>
      <c r="K23" s="40"/>
      <c r="L23" s="19"/>
      <c r="M23" s="41"/>
      <c r="N23" s="42"/>
    </row>
    <row r="24" spans="2:14" ht="18" customHeight="1" x14ac:dyDescent="0.25">
      <c r="B24" s="36"/>
      <c r="C24" s="61"/>
      <c r="D24" s="62"/>
      <c r="E24" s="61"/>
      <c r="F24" s="62"/>
      <c r="G24" s="61"/>
      <c r="H24" s="62"/>
      <c r="I24" s="61"/>
      <c r="J24" s="70"/>
      <c r="K24" s="40"/>
      <c r="L24" s="19"/>
      <c r="M24" s="41"/>
      <c r="N24" s="42"/>
    </row>
    <row r="25" spans="2:14" ht="18" customHeight="1" x14ac:dyDescent="0.25">
      <c r="B25" s="35"/>
      <c r="C25" s="59"/>
      <c r="D25" s="60"/>
      <c r="E25" s="59"/>
      <c r="F25" s="60"/>
      <c r="G25" s="59"/>
      <c r="H25" s="60"/>
      <c r="I25" s="67"/>
      <c r="J25" s="68"/>
      <c r="K25" s="40"/>
      <c r="L25" s="19"/>
      <c r="M25" s="41"/>
      <c r="N25" s="42"/>
    </row>
    <row r="26" spans="2:14" ht="18" customHeight="1" x14ac:dyDescent="0.25">
      <c r="B26" s="36" t="s">
        <v>20</v>
      </c>
      <c r="C26" s="61"/>
      <c r="D26" s="62"/>
      <c r="E26" s="61" t="s">
        <v>20</v>
      </c>
      <c r="F26" s="62"/>
      <c r="G26" s="61"/>
      <c r="H26" s="62"/>
      <c r="I26" s="61" t="s">
        <v>20</v>
      </c>
      <c r="J26" s="70"/>
      <c r="K26" s="20"/>
      <c r="L26" s="19"/>
      <c r="M26" s="41"/>
      <c r="N26" s="42"/>
    </row>
    <row r="27" spans="2:14" ht="18" customHeight="1" x14ac:dyDescent="0.25">
      <c r="B27" s="35" t="s">
        <v>21</v>
      </c>
      <c r="C27" s="59"/>
      <c r="D27" s="60"/>
      <c r="E27" s="59" t="s">
        <v>21</v>
      </c>
      <c r="F27" s="60"/>
      <c r="G27" s="59"/>
      <c r="H27" s="60"/>
      <c r="I27" s="67" t="s">
        <v>21</v>
      </c>
      <c r="J27" s="68"/>
      <c r="K27" s="27"/>
      <c r="L27" s="28"/>
      <c r="M27" s="43"/>
      <c r="N27" s="44"/>
    </row>
    <row r="28" spans="2:14" ht="18" customHeight="1" x14ac:dyDescent="0.25">
      <c r="B28" s="36"/>
      <c r="C28" s="61"/>
      <c r="D28" s="62"/>
      <c r="E28" s="61"/>
      <c r="F28" s="62"/>
      <c r="G28" s="61"/>
      <c r="H28" s="62"/>
      <c r="I28" s="61"/>
      <c r="J28" s="70"/>
      <c r="K28" s="39" t="s">
        <v>13</v>
      </c>
      <c r="L28" s="17"/>
      <c r="M28" s="45"/>
      <c r="N28" s="46"/>
    </row>
    <row r="29" spans="2:14" ht="18" customHeight="1" x14ac:dyDescent="0.25">
      <c r="B29" s="35"/>
      <c r="C29" s="59"/>
      <c r="D29" s="60"/>
      <c r="E29" s="59"/>
      <c r="F29" s="60"/>
      <c r="G29" s="59"/>
      <c r="H29" s="60"/>
      <c r="I29" s="59"/>
      <c r="J29" s="75"/>
      <c r="K29" s="40"/>
      <c r="L29" s="19"/>
      <c r="M29" s="41"/>
      <c r="N29" s="42"/>
    </row>
    <row r="30" spans="2:14" ht="18" customHeight="1" x14ac:dyDescent="0.25">
      <c r="B30" s="36"/>
      <c r="C30" s="61" t="s">
        <v>22</v>
      </c>
      <c r="D30" s="62"/>
      <c r="E30" s="61"/>
      <c r="F30" s="62"/>
      <c r="G30" s="61" t="s">
        <v>22</v>
      </c>
      <c r="H30" s="62"/>
      <c r="I30" s="61"/>
      <c r="J30" s="70"/>
      <c r="K30" s="40"/>
      <c r="L30" s="19"/>
      <c r="M30" s="41"/>
      <c r="N30" s="42"/>
    </row>
    <row r="31" spans="2:14" ht="18" customHeight="1" x14ac:dyDescent="0.25">
      <c r="B31" s="35"/>
      <c r="C31" s="59" t="s">
        <v>23</v>
      </c>
      <c r="D31" s="60"/>
      <c r="E31" s="59"/>
      <c r="F31" s="60"/>
      <c r="G31" s="59" t="s">
        <v>23</v>
      </c>
      <c r="H31" s="60"/>
      <c r="I31" s="59"/>
      <c r="J31" s="75"/>
      <c r="K31" s="29"/>
      <c r="L31" s="19"/>
      <c r="M31" s="41"/>
      <c r="N31" s="42"/>
    </row>
    <row r="32" spans="2:14" ht="18" customHeight="1" x14ac:dyDescent="0.25">
      <c r="B32" s="36"/>
      <c r="C32" s="61"/>
      <c r="D32" s="62"/>
      <c r="E32" s="61"/>
      <c r="F32" s="62"/>
      <c r="G32" s="61"/>
      <c r="H32" s="62"/>
      <c r="I32" s="71"/>
      <c r="J32" s="72"/>
      <c r="K32" s="29"/>
      <c r="L32" s="19"/>
      <c r="M32" s="41"/>
      <c r="N32" s="42"/>
    </row>
    <row r="33" spans="2:14" ht="18" customHeight="1" x14ac:dyDescent="0.25">
      <c r="B33" s="38"/>
      <c r="C33" s="65"/>
      <c r="D33" s="66"/>
      <c r="E33" s="65"/>
      <c r="F33" s="66"/>
      <c r="G33" s="65"/>
      <c r="H33" s="66"/>
      <c r="I33" s="83"/>
      <c r="J33" s="84"/>
      <c r="K33" s="31"/>
      <c r="L33" s="32"/>
      <c r="M33" s="81"/>
      <c r="N33" s="82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phoneticPr fontId="28" type="noConversion"/>
  <conditionalFormatting sqref="C4:H4">
    <cfRule type="expression" dxfId="19" priority="3" stopIfTrue="1">
      <formula>DAY(C4)&gt;8</formula>
    </cfRule>
  </conditionalFormatting>
  <conditionalFormatting sqref="C8:I10">
    <cfRule type="expression" dxfId="18" priority="2" stopIfTrue="1">
      <formula>AND(DAY(C8)&gt;=1,DAY(C8)&lt;=15)</formula>
    </cfRule>
  </conditionalFormatting>
  <conditionalFormatting sqref="C4:I9">
    <cfRule type="expression" dxfId="17" priority="4">
      <formula>VLOOKUP(DAY(C4),AssignmentDays,1,FALSE)=DAY(C4)</formula>
    </cfRule>
  </conditionalFormatting>
  <conditionalFormatting sqref="B14:J33">
    <cfRule type="expression" dxfId="16" priority="1">
      <formula>B14&lt;&gt;""</formula>
    </cfRule>
  </conditionalFormatting>
  <printOptions horizontalCentered="1" verticalCentered="1"/>
  <pageMargins left="0.5" right="0.5" top="0.5" bottom="0.5" header="0.3" footer="0.3"/>
  <pageSetup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一月</vt:lpstr>
      <vt:lpstr>二月</vt:lpstr>
      <vt:lpstr>三月</vt:lpstr>
      <vt:lpstr>四月</vt:lpstr>
      <vt:lpstr>五月</vt:lpstr>
      <vt:lpstr>六月</vt:lpstr>
      <vt:lpstr>七月</vt:lpstr>
      <vt:lpstr>八月</vt:lpstr>
      <vt:lpstr>九月</vt:lpstr>
      <vt:lpstr>十月</vt:lpstr>
      <vt:lpstr>十一月</vt:lpstr>
      <vt:lpstr>十二月</vt:lpstr>
      <vt:lpstr>七月!AssignmentDays</vt:lpstr>
      <vt:lpstr>九月!AssignmentDays</vt:lpstr>
      <vt:lpstr>二月!AssignmentDays</vt:lpstr>
      <vt:lpstr>八月!AssignmentDays</vt:lpstr>
      <vt:lpstr>十一月!AssignmentDays</vt:lpstr>
      <vt:lpstr>十月!AssignmentDays</vt:lpstr>
      <vt:lpstr>三月!AssignmentDays</vt:lpstr>
      <vt:lpstr>五月!AssignmentDays</vt:lpstr>
      <vt:lpstr>六月!AssignmentDays</vt:lpstr>
      <vt:lpstr>四月!AssignmentDays</vt:lpstr>
      <vt:lpstr>AssignmentDays</vt:lpstr>
      <vt:lpstr>CalendarYear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2013-12-26T07:42:08Z</dcterms:created>
  <dcterms:modified xsi:type="dcterms:W3CDTF">2015-02-04T06:05:42Z</dcterms:modified>
</cp:coreProperties>
</file>